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D:\Daten\Desktop\für punktetablle\"/>
    </mc:Choice>
  </mc:AlternateContent>
  <xr:revisionPtr revIDLastSave="0" documentId="8_{97CC0ADC-BAE6-4B07-B78E-94D865F76566}" xr6:coauthVersionLast="47" xr6:coauthVersionMax="47" xr10:uidLastSave="{00000000-0000-0000-0000-000000000000}"/>
  <bookViews>
    <workbookView xWindow="-120" yWindow="-120" windowWidth="24240" windowHeight="13140" xr2:uid="{F813D2AE-FE72-4F7A-A9C7-09D86459474E}"/>
  </bookViews>
  <sheets>
    <sheet name="Tabelle1" sheetId="1" r:id="rId1"/>
  </sheets>
  <definedNames>
    <definedName name="_xlnm._FilterDatabase" localSheetId="0" hidden="1">Tabelle1!$B$1:$K$23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" i="1" l="1"/>
  <c r="N28" i="1"/>
  <c r="N37" i="1"/>
  <c r="N38" i="1"/>
  <c r="N47" i="1"/>
  <c r="N48" i="1"/>
  <c r="K4" i="1" l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3" i="1" a="1"/>
  <c r="K3" i="1" s="1"/>
  <c r="K2" i="1" a="1"/>
  <c r="K2" i="1" s="1"/>
  <c r="G47" i="1" l="1" a="1"/>
  <c r="G47" i="1" s="1"/>
  <c r="H47" i="1" s="1" a="1"/>
  <c r="H47" i="1" s="1"/>
  <c r="G38" i="1" a="1"/>
  <c r="G38" i="1" s="1"/>
  <c r="H38" i="1" s="1" a="1"/>
  <c r="H38" i="1" s="1"/>
  <c r="G37" i="1" a="1"/>
  <c r="G37" i="1" s="1"/>
  <c r="H37" i="1" s="1" a="1"/>
  <c r="H37" i="1" s="1"/>
  <c r="G28" i="1" a="1"/>
  <c r="G28" i="1" s="1"/>
  <c r="H28" i="1" s="1" a="1"/>
  <c r="H28" i="1" s="1"/>
  <c r="G27" i="1" a="1"/>
  <c r="G27" i="1" s="1"/>
  <c r="H27" i="1" s="1" a="1"/>
  <c r="H27" i="1" s="1"/>
  <c r="G54" i="1" a="1"/>
  <c r="G54" i="1" s="1"/>
  <c r="G53" i="1" a="1"/>
  <c r="G53" i="1" s="1"/>
  <c r="G52" i="1" a="1"/>
  <c r="G52" i="1" s="1"/>
  <c r="G51" i="1" a="1"/>
  <c r="G51" i="1" s="1"/>
  <c r="H51" i="1" s="1" a="1"/>
  <c r="H51" i="1" s="1"/>
  <c r="G50" i="1" a="1"/>
  <c r="G50" i="1" s="1"/>
  <c r="G49" i="1"/>
  <c r="F49" i="1" s="1" a="1"/>
  <c r="F49" i="1" s="1"/>
  <c r="G48" i="1" a="1"/>
  <c r="G48" i="1" s="1"/>
  <c r="H48" i="1" s="1" a="1"/>
  <c r="H48" i="1" s="1"/>
  <c r="G44" i="1" a="1"/>
  <c r="G44" i="1" s="1"/>
  <c r="H44" i="1" s="1" a="1"/>
  <c r="H44" i="1" s="1"/>
  <c r="G43" i="1" a="1"/>
  <c r="G43" i="1" s="1"/>
  <c r="F43" i="1" s="1" a="1"/>
  <c r="F43" i="1" s="1"/>
  <c r="G42" i="1" a="1"/>
  <c r="G42" i="1" s="1"/>
  <c r="G41" i="1" a="1"/>
  <c r="G41" i="1" s="1"/>
  <c r="G40" i="1" a="1"/>
  <c r="G40" i="1" s="1"/>
  <c r="H40" i="1" s="1" a="1"/>
  <c r="H40" i="1" s="1"/>
  <c r="G39" i="1" a="1"/>
  <c r="G39" i="1" s="1"/>
  <c r="G34" i="1" a="1"/>
  <c r="G34" i="1" s="1"/>
  <c r="G33" i="1" a="1"/>
  <c r="G33" i="1" s="1"/>
  <c r="G32" i="1" a="1"/>
  <c r="G32" i="1" s="1"/>
  <c r="G31" i="1" a="1"/>
  <c r="G31" i="1" s="1"/>
  <c r="G30" i="1" a="1"/>
  <c r="G30" i="1" s="1"/>
  <c r="G29" i="1" a="1"/>
  <c r="G29" i="1" s="1"/>
  <c r="H49" i="1" l="1" a="1"/>
  <c r="H49" i="1" s="1"/>
  <c r="H34" i="1" a="1"/>
  <c r="H34" i="1" s="1"/>
  <c r="F34" i="1" a="1"/>
  <c r="F34" i="1" s="1"/>
  <c r="F51" i="1" a="1"/>
  <c r="F51" i="1" s="1"/>
  <c r="F30" i="1" a="1"/>
  <c r="F30" i="1" s="1"/>
  <c r="H30" i="1" a="1"/>
  <c r="H30" i="1" s="1"/>
  <c r="F37" i="1" a="1"/>
  <c r="F37" i="1" s="1"/>
  <c r="H31" i="1" a="1"/>
  <c r="H31" i="1" s="1"/>
  <c r="F31" i="1" a="1"/>
  <c r="F31" i="1" s="1"/>
  <c r="F32" i="1" a="1"/>
  <c r="F32" i="1" s="1"/>
  <c r="H32" i="1" a="1"/>
  <c r="H32" i="1" s="1"/>
  <c r="F39" i="1" a="1"/>
  <c r="F39" i="1" s="1"/>
  <c r="H39" i="1" a="1"/>
  <c r="H39" i="1" s="1"/>
  <c r="F27" i="1" a="1"/>
  <c r="F27" i="1" s="1"/>
  <c r="H41" i="1" a="1"/>
  <c r="H41" i="1" s="1"/>
  <c r="F41" i="1" a="1"/>
  <c r="F41" i="1" s="1"/>
  <c r="F28" i="1" a="1"/>
  <c r="F28" i="1" s="1"/>
  <c r="F42" i="1" a="1"/>
  <c r="F42" i="1" s="1"/>
  <c r="H42" i="1" a="1"/>
  <c r="H42" i="1" s="1"/>
  <c r="F29" i="1" a="1"/>
  <c r="F29" i="1" s="1"/>
  <c r="H29" i="1" a="1"/>
  <c r="H29" i="1" s="1"/>
  <c r="H50" i="1" a="1"/>
  <c r="H50" i="1" s="1"/>
  <c r="F50" i="1" a="1"/>
  <c r="F50" i="1" s="1"/>
  <c r="F38" i="1" a="1"/>
  <c r="F38" i="1" s="1"/>
  <c r="F33" i="1" a="1"/>
  <c r="F33" i="1" s="1"/>
  <c r="H33" i="1" a="1"/>
  <c r="H33" i="1" s="1"/>
  <c r="F47" i="1" a="1"/>
  <c r="F47" i="1" s="1"/>
  <c r="F52" i="1" a="1"/>
  <c r="F52" i="1" s="1"/>
  <c r="H52" i="1" a="1"/>
  <c r="H52" i="1" s="1"/>
  <c r="F48" i="1" a="1"/>
  <c r="F48" i="1" s="1"/>
  <c r="F53" i="1" a="1"/>
  <c r="F53" i="1" s="1"/>
  <c r="H53" i="1" a="1"/>
  <c r="H53" i="1" s="1"/>
  <c r="H54" i="1" a="1"/>
  <c r="H54" i="1" s="1"/>
  <c r="F54" i="1" a="1"/>
  <c r="F54" i="1" s="1"/>
  <c r="H43" i="1" a="1"/>
  <c r="H43" i="1" s="1"/>
  <c r="F40" i="1" a="1"/>
  <c r="F40" i="1" s="1"/>
  <c r="F44" i="1" a="1"/>
  <c r="F44" i="1" s="1"/>
  <c r="L45" i="1" l="1"/>
  <c r="L3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<sst xmlns="http://schemas.openxmlformats.org/spreadsheetml/2006/main" count="233" uniqueCount="104">
  <si>
    <t>Lamprecht</t>
  </si>
  <si>
    <t>M</t>
  </si>
  <si>
    <t>Rodel</t>
  </si>
  <si>
    <t>Herren     2007 u. jünger</t>
  </si>
  <si>
    <t>Ski</t>
  </si>
  <si>
    <t>Herren     1974 u. älter</t>
  </si>
  <si>
    <t>Fleischmann</t>
  </si>
  <si>
    <t>Barbara</t>
  </si>
  <si>
    <t>W</t>
  </si>
  <si>
    <t>Snow</t>
  </si>
  <si>
    <t>Snowboard     Damen</t>
  </si>
  <si>
    <t>Forcher</t>
  </si>
  <si>
    <t>Manuel</t>
  </si>
  <si>
    <t>Snowboard     Herren</t>
  </si>
  <si>
    <t>Franz</t>
  </si>
  <si>
    <t>Flarer</t>
  </si>
  <si>
    <t>Damen     2007 u. jünger</t>
  </si>
  <si>
    <t>Mitterstieler</t>
  </si>
  <si>
    <t>MK 1</t>
  </si>
  <si>
    <t>MK 2</t>
  </si>
  <si>
    <t>MK 3</t>
  </si>
  <si>
    <t>MK 4</t>
  </si>
  <si>
    <t>MK 5</t>
  </si>
  <si>
    <t>MK 6</t>
  </si>
  <si>
    <t>StNr</t>
  </si>
  <si>
    <t>Nachname</t>
  </si>
  <si>
    <t>Vorname</t>
  </si>
  <si>
    <t>Jahr</t>
  </si>
  <si>
    <t>Verein</t>
  </si>
  <si>
    <t>Gesch.</t>
  </si>
  <si>
    <t>Disziplin</t>
  </si>
  <si>
    <t>Klasse</t>
  </si>
  <si>
    <t>Zeit</t>
  </si>
  <si>
    <t>Punkte</t>
  </si>
  <si>
    <t>x</t>
  </si>
  <si>
    <t>1 x für Tages bestzeiten</t>
  </si>
  <si>
    <t>ski m</t>
  </si>
  <si>
    <t>ski w</t>
  </si>
  <si>
    <t>rodel m</t>
  </si>
  <si>
    <t>rodel w</t>
  </si>
  <si>
    <t>snow m</t>
  </si>
  <si>
    <t>snow w</t>
  </si>
  <si>
    <t>1 x für Älteste/r</t>
  </si>
  <si>
    <t>1 x für Jüngste/r</t>
  </si>
  <si>
    <t>Marth</t>
  </si>
  <si>
    <t>Janina</t>
  </si>
  <si>
    <t>Gäste</t>
  </si>
  <si>
    <t>Gäste  w     2007 u. jünger</t>
  </si>
  <si>
    <t>Jelena</t>
  </si>
  <si>
    <t>Kofler</t>
  </si>
  <si>
    <t>Gerda</t>
  </si>
  <si>
    <t>Damen     1994 u. älter</t>
  </si>
  <si>
    <t>Pircher</t>
  </si>
  <si>
    <t>Stefania</t>
  </si>
  <si>
    <t>Gufler</t>
  </si>
  <si>
    <t>Samuel</t>
  </si>
  <si>
    <t>Gögele</t>
  </si>
  <si>
    <t>Daniel</t>
  </si>
  <si>
    <t>Elena</t>
  </si>
  <si>
    <t>Reich</t>
  </si>
  <si>
    <t>Mirjam</t>
  </si>
  <si>
    <t>Spinazze</t>
  </si>
  <si>
    <t>Luciano</t>
  </si>
  <si>
    <t>Fahrner</t>
  </si>
  <si>
    <t>Arthur</t>
  </si>
  <si>
    <t>Johannes</t>
  </si>
  <si>
    <t>Gäste 7</t>
  </si>
  <si>
    <t>Martin</t>
  </si>
  <si>
    <t>Gäste  m     2007 u. jünger</t>
  </si>
  <si>
    <t>Haller</t>
  </si>
  <si>
    <t>Leonhard</t>
  </si>
  <si>
    <t>Franziska</t>
  </si>
  <si>
    <t>D</t>
  </si>
  <si>
    <t>H</t>
  </si>
  <si>
    <t>Älteste/r Teilnehmer/in 2025 Ski / Rodel</t>
  </si>
  <si>
    <t>Jüngste/r Teilnehmer/in 2025 Ski / Rodel</t>
  </si>
  <si>
    <t>Tagesbestzeit 2025 Ski / Rodel</t>
  </si>
  <si>
    <t>Gäste  w     2006 u. älter</t>
  </si>
  <si>
    <t>Gäste m      2006 u. älter</t>
  </si>
  <si>
    <t>Spalte F richtig wäre</t>
  </si>
  <si>
    <t>Gäste D</t>
  </si>
  <si>
    <t>Gäste H</t>
  </si>
  <si>
    <t>Spalte H richtig wäre</t>
  </si>
  <si>
    <t>StNr  Kontrolle</t>
  </si>
  <si>
    <t>Eller</t>
  </si>
  <si>
    <t>Helmuth</t>
  </si>
  <si>
    <t>Lanthaler</t>
  </si>
  <si>
    <t>Gläserer</t>
  </si>
  <si>
    <t>Rang nach Klasse</t>
  </si>
  <si>
    <t xml:space="preserve"> Stnr. 20   Eller Helmuth   Gäste 7, zeit:</t>
  </si>
  <si>
    <t>Stnr. 18   Haller Leonhard   Gäste 7,  geb.</t>
  </si>
  <si>
    <t>Stnr. 19   Lamprecht Franziska   Gäste 7,  geb.</t>
  </si>
  <si>
    <t>Stnr. 15   Fahrner Johannes   MK 4,  geb.</t>
  </si>
  <si>
    <t>Ski M</t>
  </si>
  <si>
    <t>Rodel W</t>
  </si>
  <si>
    <t>Stnr. 13   Flarer Barbara   MK 1,  geb.</t>
  </si>
  <si>
    <t>1</t>
  </si>
  <si>
    <t>2</t>
  </si>
  <si>
    <t>3</t>
  </si>
  <si>
    <t>4</t>
  </si>
  <si>
    <t>5</t>
  </si>
  <si>
    <t>6</t>
  </si>
  <si>
    <t>Falsch Spalte F</t>
  </si>
  <si>
    <t>Falsch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</si>
</sst>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10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color indexed="8"/>
      <name val="Aptos Narrow"/>
      <family val="2"/>
      <scheme val="minor"/>
    </font>
    <font>
      <sz val="10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u/>
      <sz val="14"/>
      <name val="Aptos Narrow"/>
      <family val="2"/>
      <scheme val="minor"/>
    </font>
    <font>
      <sz val="11"/>
      <color rgb="FF7030A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88566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right" inden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" fontId="1" fillId="0" borderId="1" xfId="0" applyNumberFormat="1" applyFont="1" applyBorder="1" applyAlignment="1">
      <alignment horizontal="center"/>
    </xf>
    <xf numFmtId="0" fontId="3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left" indent="1"/>
    </xf>
    <xf numFmtId="0" fontId="4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indent="1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2" borderId="0" xfId="0" applyFont="1" applyFill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2" fillId="0" borderId="4" xfId="0" applyFont="1" applyBorder="1" applyAlignment="1">
      <alignment horizontal="right" indent="1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/>
    <xf numFmtId="1" fontId="1" fillId="0" borderId="3" xfId="0" applyNumberFormat="1" applyFont="1" applyBorder="1" applyAlignment="1">
      <alignment horizontal="center"/>
    </xf>
    <xf numFmtId="22" fontId="2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indent="4"/>
    </xf>
    <xf numFmtId="0" fontId="0" fillId="0" borderId="1" xfId="0" applyBorder="1"/>
    <xf numFmtId="0" fontId="5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left"/>
    </xf>
    <xf numFmtId="0" fontId="0" fillId="3" borderId="2" xfId="0" applyFill="1" applyBorder="1"/>
    <xf numFmtId="0" fontId="0" fillId="3" borderId="2" xfId="0" applyFill="1" applyBorder="1" applyAlignment="1">
      <alignment horizontal="right"/>
    </xf>
    <xf numFmtId="0" fontId="0" fillId="3" borderId="1" xfId="0" applyFill="1" applyBorder="1"/>
    <xf numFmtId="0" fontId="0" fillId="3" borderId="5" xfId="0" applyFill="1" applyBorder="1"/>
    <xf numFmtId="0" fontId="0" fillId="3" borderId="5" xfId="0" applyFill="1" applyBorder="1" applyAlignment="1">
      <alignment horizontal="right"/>
    </xf>
    <xf numFmtId="0" fontId="5" fillId="4" borderId="1" xfId="0" applyFont="1" applyFill="1" applyBorder="1"/>
    <xf numFmtId="0" fontId="5" fillId="3" borderId="1" xfId="0" applyFont="1" applyFill="1" applyBorder="1"/>
    <xf numFmtId="0" fontId="5" fillId="0" borderId="1" xfId="0" applyFont="1" applyBorder="1"/>
    <xf numFmtId="0" fontId="5" fillId="3" borderId="2" xfId="0" applyFont="1" applyFill="1" applyBorder="1"/>
    <xf numFmtId="0" fontId="5" fillId="4" borderId="5" xfId="0" applyFont="1" applyFill="1" applyBorder="1"/>
    <xf numFmtId="0" fontId="5" fillId="3" borderId="5" xfId="0" applyFont="1" applyFill="1" applyBorder="1"/>
    <xf numFmtId="164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0" fillId="0" borderId="3" xfId="0" applyBorder="1"/>
    <xf numFmtId="0" fontId="5" fillId="4" borderId="5" xfId="0" applyFont="1" applyFill="1" applyBorder="1" applyAlignment="1">
      <alignment horizontal="center"/>
    </xf>
    <xf numFmtId="0" fontId="0" fillId="0" borderId="1" xfId="0" applyNumberFormat="1" applyBorder="1"/>
  </cellXfs>
  <cellStyles count="1">
    <cellStyle name="Standard" xfId="0" builtinId="0"/>
  </cellStyles>
  <dxfs count="58"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E699"/>
        </patternFill>
      </fill>
    </dxf>
    <dxf>
      <border>
        <top style="dashDot">
          <color rgb="FFFF0000"/>
        </top>
        <bottom style="dashDot">
          <color rgb="FFFF0000"/>
        </bottom>
        <vertical/>
        <horizontal/>
      </border>
    </dxf>
    <dxf>
      <border>
        <top style="dashDot">
          <color rgb="FFFF0000"/>
        </top>
        <bottom style="dashDot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E885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2D38A-66BB-4730-8E3C-DBC8F588D7FC}">
  <sheetPr codeName="Tabelle1"/>
  <dimension ref="A1:Q55"/>
  <sheetViews>
    <sheetView tabSelected="1" zoomScaleNormal="100" workbookViewId="0">
      <selection activeCell="M1" sqref="M1"/>
    </sheetView>
  </sheetViews>
  <sheetFormatPr baseColWidth="10" defaultRowHeight="15" x14ac:dyDescent="0.25"/>
  <cols>
    <col min="1" max="1" width="19" customWidth="1"/>
    <col min="2" max="2" width="7.7109375" customWidth="1"/>
    <col min="3" max="3" width="13.28515625" bestFit="1" customWidth="1"/>
    <col min="4" max="4" width="12" bestFit="1" customWidth="1"/>
    <col min="5" max="5" width="7.7109375" customWidth="1"/>
    <col min="6" max="6" width="23.7109375" customWidth="1"/>
    <col min="7" max="7" width="8.7109375" customWidth="1"/>
    <col min="8" max="8" width="10.28515625" bestFit="1" customWidth="1"/>
    <col min="9" max="9" width="24.140625" bestFit="1" customWidth="1"/>
    <col min="10" max="10" width="9.140625" customWidth="1"/>
    <col min="11" max="11" width="8.7109375" customWidth="1"/>
  </cols>
  <sheetData>
    <row r="1" spans="1:11" x14ac:dyDescent="0.25">
      <c r="A1" s="15" t="s">
        <v>88</v>
      </c>
      <c r="B1" s="11" t="s">
        <v>24</v>
      </c>
      <c r="C1" s="8" t="s">
        <v>25</v>
      </c>
      <c r="D1" s="8" t="s">
        <v>26</v>
      </c>
      <c r="E1" s="9" t="s">
        <v>27</v>
      </c>
      <c r="F1" s="8" t="s">
        <v>28</v>
      </c>
      <c r="G1" s="9" t="s">
        <v>29</v>
      </c>
      <c r="H1" s="7" t="s">
        <v>30</v>
      </c>
      <c r="I1" s="8" t="s">
        <v>31</v>
      </c>
      <c r="J1" s="10" t="s">
        <v>32</v>
      </c>
      <c r="K1" s="9" t="s">
        <v>33</v>
      </c>
    </row>
    <row r="2" spans="1:11" x14ac:dyDescent="0.25">
      <c r="A2" s="49" t="s">
        <v>96</v>
      </c>
      <c r="B2" s="17">
        <v>1</v>
      </c>
      <c r="C2" s="18" t="s">
        <v>54</v>
      </c>
      <c r="D2" s="18" t="s">
        <v>55</v>
      </c>
      <c r="E2" s="19">
        <v>2012</v>
      </c>
      <c r="F2" s="18" t="s">
        <v>18</v>
      </c>
      <c r="G2" s="19" t="s">
        <v>1</v>
      </c>
      <c r="H2" s="19" t="s">
        <v>4</v>
      </c>
      <c r="I2" s="18" t="s">
        <v>3</v>
      </c>
      <c r="J2" s="20">
        <v>5.4236111111111108E-4</v>
      </c>
      <c r="K2" s="21" cm="1">
        <f t="array" ref="K2">_xlfn.IFS(A2="1",10,A2="2",8,A2="3",6,A2="4",5,A2="5",4,A2="6",3,A2="7",2,A2="8",1,A2&gt;=9,"",A2="","")</f>
        <v>10</v>
      </c>
    </row>
    <row r="3" spans="1:11" x14ac:dyDescent="0.25">
      <c r="A3" s="51" t="s">
        <v>96</v>
      </c>
      <c r="B3" s="1">
        <v>2</v>
      </c>
      <c r="C3" s="2" t="s">
        <v>56</v>
      </c>
      <c r="D3" s="2" t="s">
        <v>57</v>
      </c>
      <c r="E3" s="3">
        <v>1968</v>
      </c>
      <c r="F3" s="2" t="s">
        <v>19</v>
      </c>
      <c r="G3" s="3" t="s">
        <v>1</v>
      </c>
      <c r="H3" s="3" t="s">
        <v>2</v>
      </c>
      <c r="I3" s="2" t="s">
        <v>5</v>
      </c>
      <c r="J3" s="4">
        <v>2.0833333333333333E-3</v>
      </c>
      <c r="K3" s="5" cm="1">
        <f t="array" ref="K3">_xlfn.IFS(A3="1",10,A3="2",8,A3="3",6,A3="4",5,A3="5",4,A3="6",3,A3="7",2,A3="8",1,A3&gt;=9,"",A3="","")</f>
        <v>10</v>
      </c>
    </row>
    <row r="4" spans="1:11" x14ac:dyDescent="0.25">
      <c r="A4" s="27" t="s">
        <v>97</v>
      </c>
      <c r="B4" s="1">
        <v>3</v>
      </c>
      <c r="C4" s="2" t="s">
        <v>17</v>
      </c>
      <c r="D4" s="2" t="s">
        <v>58</v>
      </c>
      <c r="E4" s="3">
        <v>2007</v>
      </c>
      <c r="F4" s="2" t="s">
        <v>20</v>
      </c>
      <c r="G4" s="3" t="s">
        <v>8</v>
      </c>
      <c r="H4" s="3" t="s">
        <v>4</v>
      </c>
      <c r="I4" s="2" t="s">
        <v>16</v>
      </c>
      <c r="J4" s="4">
        <v>5.5196759259259261E-4</v>
      </c>
      <c r="K4" s="5" cm="1">
        <f t="array" ref="K4">_xlfn.IFS(A4="1",10,A4="2",8,A4="3",6,A4="4",5,A4="5",4,A4="6",3,A4="7",2,A4="8",1,A4&gt;=9,"",A4="","")</f>
        <v>8</v>
      </c>
    </row>
    <row r="5" spans="1:11" x14ac:dyDescent="0.25">
      <c r="A5" s="27" t="s">
        <v>98</v>
      </c>
      <c r="B5" s="1">
        <v>4</v>
      </c>
      <c r="C5" s="2" t="s">
        <v>86</v>
      </c>
      <c r="D5" s="2" t="s">
        <v>7</v>
      </c>
      <c r="E5" s="3">
        <v>1988</v>
      </c>
      <c r="F5" s="2" t="s">
        <v>21</v>
      </c>
      <c r="G5" s="3" t="s">
        <v>8</v>
      </c>
      <c r="H5" s="3" t="s">
        <v>9</v>
      </c>
      <c r="I5" s="2" t="s">
        <v>10</v>
      </c>
      <c r="J5" s="4">
        <v>9.6851851851851851E-4</v>
      </c>
      <c r="K5" s="5" cm="1">
        <f t="array" ref="K5">_xlfn.IFS(A5="1",10,A5="2",8,A5="3",6,A5="4",5,A5="5",4,A5="6",3,A5="7",2,A5="8",1,A5&gt;=9,"",A5="","")</f>
        <v>6</v>
      </c>
    </row>
    <row r="6" spans="1:11" x14ac:dyDescent="0.25">
      <c r="A6" s="27" t="s">
        <v>97</v>
      </c>
      <c r="B6" s="1">
        <v>5</v>
      </c>
      <c r="C6" s="2" t="s">
        <v>11</v>
      </c>
      <c r="D6" s="2" t="s">
        <v>12</v>
      </c>
      <c r="E6" s="3">
        <v>2004</v>
      </c>
      <c r="F6" s="2" t="s">
        <v>22</v>
      </c>
      <c r="G6" s="3" t="s">
        <v>1</v>
      </c>
      <c r="H6" s="3" t="s">
        <v>9</v>
      </c>
      <c r="I6" s="2" t="s">
        <v>13</v>
      </c>
      <c r="J6" s="4">
        <v>8.3831018518518521E-4</v>
      </c>
      <c r="K6" s="5" cm="1">
        <f t="array" ref="K6">_xlfn.IFS(A6="1",10,A6="2",8,A6="3",6,A6="4",5,A6="5",4,A6="6",3,A6="7",2,A6="8",1,A6&gt;=9,"",A6="","")</f>
        <v>8</v>
      </c>
    </row>
    <row r="7" spans="1:11" x14ac:dyDescent="0.25">
      <c r="A7" s="27" t="s">
        <v>97</v>
      </c>
      <c r="B7" s="1">
        <v>6</v>
      </c>
      <c r="C7" s="2" t="s">
        <v>0</v>
      </c>
      <c r="D7" s="2" t="s">
        <v>14</v>
      </c>
      <c r="E7" s="3">
        <v>1960</v>
      </c>
      <c r="F7" s="2" t="s">
        <v>23</v>
      </c>
      <c r="G7" s="3" t="s">
        <v>1</v>
      </c>
      <c r="H7" s="3" t="s">
        <v>2</v>
      </c>
      <c r="I7" s="2" t="s">
        <v>5</v>
      </c>
      <c r="J7" s="4">
        <v>2.3652777777777778E-3</v>
      </c>
      <c r="K7" s="5" cm="1">
        <f t="array" ref="K7">_xlfn.IFS(A7="1",10,A7="2",8,A7="3",6,A7="4",5,A7="5",4,A7="6",3,A7="7",2,A7="8",1,A7&gt;=9,"",A7="","")</f>
        <v>8</v>
      </c>
    </row>
    <row r="8" spans="1:11" x14ac:dyDescent="0.25">
      <c r="A8" s="27" t="s">
        <v>98</v>
      </c>
      <c r="B8" s="1">
        <v>7</v>
      </c>
      <c r="C8" s="2" t="s">
        <v>15</v>
      </c>
      <c r="D8" s="2" t="s">
        <v>7</v>
      </c>
      <c r="E8" s="3">
        <v>2013</v>
      </c>
      <c r="F8" s="2" t="s">
        <v>18</v>
      </c>
      <c r="G8" s="3" t="s">
        <v>8</v>
      </c>
      <c r="H8" s="3" t="s">
        <v>4</v>
      </c>
      <c r="I8" s="2" t="s">
        <v>16</v>
      </c>
      <c r="J8" s="4">
        <v>5.6273148148148144E-4</v>
      </c>
      <c r="K8" s="5" cm="1">
        <f t="array" ref="K8">_xlfn.IFS(A8="1",10,A8="2",8,A8="3",6,A8="4",5,A8="5",4,A8="6",3,A8="7",2,A8="8",1,A8&gt;=9,"",A8="","")</f>
        <v>6</v>
      </c>
    </row>
    <row r="9" spans="1:11" x14ac:dyDescent="0.25">
      <c r="A9" s="27" t="s">
        <v>98</v>
      </c>
      <c r="B9" s="1">
        <v>8</v>
      </c>
      <c r="C9" s="2" t="s">
        <v>59</v>
      </c>
      <c r="D9" s="2" t="s">
        <v>60</v>
      </c>
      <c r="E9" s="3">
        <v>2008</v>
      </c>
      <c r="F9" s="2" t="s">
        <v>19</v>
      </c>
      <c r="G9" s="22" t="s">
        <v>8</v>
      </c>
      <c r="H9" s="22" t="s">
        <v>2</v>
      </c>
      <c r="I9" s="2" t="s">
        <v>16</v>
      </c>
      <c r="J9" s="4">
        <v>2.4731481481481484E-3</v>
      </c>
      <c r="K9" s="5" cm="1">
        <f t="array" ref="K9">_xlfn.IFS(A9="1",10,A9="2",8,A9="3",6,A9="4",5,A9="5",4,A9="6",3,A9="7",2,A9="8",1,A9&gt;=9,"",A9="","")</f>
        <v>6</v>
      </c>
    </row>
    <row r="10" spans="1:11" x14ac:dyDescent="0.25">
      <c r="A10" s="25" t="s">
        <v>96</v>
      </c>
      <c r="B10" s="1">
        <v>9</v>
      </c>
      <c r="C10" s="2" t="s">
        <v>44</v>
      </c>
      <c r="D10" s="2" t="s">
        <v>45</v>
      </c>
      <c r="E10" s="3">
        <v>2012</v>
      </c>
      <c r="F10" s="2" t="s">
        <v>66</v>
      </c>
      <c r="G10" s="3" t="s">
        <v>72</v>
      </c>
      <c r="H10" s="3" t="s">
        <v>46</v>
      </c>
      <c r="I10" s="2" t="s">
        <v>47</v>
      </c>
      <c r="J10" s="4">
        <v>6.7337962962962968E-4</v>
      </c>
      <c r="K10" s="5" cm="1">
        <f t="array" ref="K10">_xlfn.IFS(A10="1",10,A10="2",8,A10="3",6,A10="4",5,A10="5",4,A10="6",3,A10="7",2,A10="8",1,A10&gt;=9,"",A10="","")</f>
        <v>10</v>
      </c>
    </row>
    <row r="11" spans="1:11" x14ac:dyDescent="0.25">
      <c r="A11" s="27" t="s">
        <v>99</v>
      </c>
      <c r="B11" s="1">
        <v>10</v>
      </c>
      <c r="C11" s="2" t="s">
        <v>44</v>
      </c>
      <c r="D11" s="2" t="s">
        <v>48</v>
      </c>
      <c r="E11" s="3">
        <v>2017</v>
      </c>
      <c r="F11" s="2" t="s">
        <v>66</v>
      </c>
      <c r="G11" s="3" t="s">
        <v>72</v>
      </c>
      <c r="H11" s="3" t="s">
        <v>46</v>
      </c>
      <c r="I11" s="2" t="s">
        <v>47</v>
      </c>
      <c r="J11" s="4">
        <v>7.3356481481481482E-4</v>
      </c>
      <c r="K11" s="5" cm="1">
        <f t="array" ref="K11">_xlfn.IFS(A11="1",10,A11="2",8,A11="3",6,A11="4",5,A11="5",4,A11="6",3,A11="7",2,A11="8",1,A11&gt;=9,"",A11="","")</f>
        <v>5</v>
      </c>
    </row>
    <row r="12" spans="1:11" x14ac:dyDescent="0.25">
      <c r="A12" s="27" t="s">
        <v>99</v>
      </c>
      <c r="B12" s="1">
        <v>11</v>
      </c>
      <c r="C12" s="2" t="s">
        <v>61</v>
      </c>
      <c r="D12" s="2" t="s">
        <v>62</v>
      </c>
      <c r="E12" s="3">
        <v>1949</v>
      </c>
      <c r="F12" s="2" t="s">
        <v>22</v>
      </c>
      <c r="G12" s="3" t="s">
        <v>1</v>
      </c>
      <c r="H12" s="3" t="s">
        <v>4</v>
      </c>
      <c r="I12" s="2" t="s">
        <v>5</v>
      </c>
      <c r="J12" s="4">
        <v>7.0520833333333329E-4</v>
      </c>
      <c r="K12" s="5" cm="1">
        <f t="array" ref="K12">_xlfn.IFS(A12="1",10,A12="2",8,A12="3",6,A12="4",5,A12="5",4,A12="6",3,A12="7",2,A12="8",1,A12&gt;=9,"",A12="","")</f>
        <v>5</v>
      </c>
    </row>
    <row r="13" spans="1:11" x14ac:dyDescent="0.25">
      <c r="A13" s="27" t="s">
        <v>100</v>
      </c>
      <c r="B13" s="1">
        <v>12</v>
      </c>
      <c r="C13" s="2" t="s">
        <v>49</v>
      </c>
      <c r="D13" s="2" t="s">
        <v>50</v>
      </c>
      <c r="E13" s="3">
        <v>1969</v>
      </c>
      <c r="F13" s="2" t="s">
        <v>21</v>
      </c>
      <c r="G13" s="3" t="s">
        <v>8</v>
      </c>
      <c r="H13" s="3" t="s">
        <v>4</v>
      </c>
      <c r="I13" s="2" t="s">
        <v>51</v>
      </c>
      <c r="J13" s="4">
        <v>7.1180555555555559E-4</v>
      </c>
      <c r="K13" s="5" cm="1">
        <f t="array" ref="K13">_xlfn.IFS(A13="1",10,A13="2",8,A13="3",6,A13="4",5,A13="5",4,A13="6",3,A13="7",2,A13="8",1,A13&gt;=9,"",A13="","")</f>
        <v>4</v>
      </c>
    </row>
    <row r="14" spans="1:11" x14ac:dyDescent="0.25">
      <c r="A14" s="27" t="s">
        <v>99</v>
      </c>
      <c r="B14" s="1">
        <v>13</v>
      </c>
      <c r="C14" s="2" t="s">
        <v>15</v>
      </c>
      <c r="D14" s="2" t="s">
        <v>7</v>
      </c>
      <c r="E14" s="3">
        <v>2013</v>
      </c>
      <c r="F14" s="2" t="s">
        <v>18</v>
      </c>
      <c r="G14" s="3" t="s">
        <v>8</v>
      </c>
      <c r="H14" s="3" t="s">
        <v>2</v>
      </c>
      <c r="I14" s="2" t="s">
        <v>16</v>
      </c>
      <c r="J14" s="4">
        <v>2.8734953703703704E-3</v>
      </c>
      <c r="K14" s="5" cm="1">
        <f t="array" ref="K14">_xlfn.IFS(A14="1",10,A14="2",8,A14="3",6,A14="4",5,A14="5",4,A14="6",3,A14="7",2,A14="8",1,A14&gt;=9,"",A14="","")</f>
        <v>5</v>
      </c>
    </row>
    <row r="15" spans="1:11" x14ac:dyDescent="0.25">
      <c r="A15" s="27" t="s">
        <v>100</v>
      </c>
      <c r="B15" s="1">
        <v>14</v>
      </c>
      <c r="C15" s="2" t="s">
        <v>63</v>
      </c>
      <c r="D15" s="2" t="s">
        <v>64</v>
      </c>
      <c r="E15" s="3">
        <v>2014</v>
      </c>
      <c r="F15" s="2" t="s">
        <v>21</v>
      </c>
      <c r="G15" s="3" t="s">
        <v>1</v>
      </c>
      <c r="H15" s="3" t="s">
        <v>2</v>
      </c>
      <c r="I15" s="2" t="s">
        <v>3</v>
      </c>
      <c r="J15" s="4">
        <v>3.0335648148148149E-3</v>
      </c>
      <c r="K15" s="5" cm="1">
        <f t="array" ref="K15">_xlfn.IFS(A15="1",10,A15="2",8,A15="3",6,A15="4",5,A15="5",4,A15="6",3,A15="7",2,A15="8",1,A15&gt;=9,"",A15="","")</f>
        <v>4</v>
      </c>
    </row>
    <row r="16" spans="1:11" x14ac:dyDescent="0.25">
      <c r="A16" s="27" t="s">
        <v>101</v>
      </c>
      <c r="B16" s="1">
        <v>15</v>
      </c>
      <c r="C16" s="2" t="s">
        <v>63</v>
      </c>
      <c r="D16" s="2" t="s">
        <v>65</v>
      </c>
      <c r="E16" s="3">
        <v>2017</v>
      </c>
      <c r="F16" s="2" t="s">
        <v>21</v>
      </c>
      <c r="G16" s="3" t="s">
        <v>1</v>
      </c>
      <c r="H16" s="3" t="s">
        <v>4</v>
      </c>
      <c r="I16" s="2" t="s">
        <v>3</v>
      </c>
      <c r="J16" s="4">
        <v>9.4074074074074079E-4</v>
      </c>
      <c r="K16" s="5" cm="1">
        <f t="array" ref="K16">_xlfn.IFS(A16="1",10,A16="2",8,A16="3",6,A16="4",5,A16="5",4,A16="6",3,A16="7",2,A16="8",1,A16&gt;=9,"",A16="","")</f>
        <v>3</v>
      </c>
    </row>
    <row r="17" spans="1:17" x14ac:dyDescent="0.25">
      <c r="A17" s="27" t="s">
        <v>101</v>
      </c>
      <c r="B17" s="1">
        <v>16</v>
      </c>
      <c r="C17" s="2" t="s">
        <v>52</v>
      </c>
      <c r="D17" s="2" t="s">
        <v>53</v>
      </c>
      <c r="E17" s="3">
        <v>1980</v>
      </c>
      <c r="F17" s="2" t="s">
        <v>21</v>
      </c>
      <c r="G17" s="3" t="s">
        <v>8</v>
      </c>
      <c r="H17" s="3" t="s">
        <v>2</v>
      </c>
      <c r="I17" s="2" t="s">
        <v>51</v>
      </c>
      <c r="J17" s="4">
        <v>3.2937499999999998E-3</v>
      </c>
      <c r="K17" s="5" cm="1">
        <f t="array" ref="K17">_xlfn.IFS(A17="1",10,A17="2",8,A17="3",6,A17="4",5,A17="5",4,A17="6",3,A17="7",2,A17="8",1,A17&gt;=9,"",A17="","")</f>
        <v>3</v>
      </c>
    </row>
    <row r="18" spans="1:17" x14ac:dyDescent="0.25">
      <c r="A18" s="27" t="s">
        <v>98</v>
      </c>
      <c r="B18" s="1">
        <v>17</v>
      </c>
      <c r="C18" s="2" t="s">
        <v>44</v>
      </c>
      <c r="D18" s="2" t="s">
        <v>67</v>
      </c>
      <c r="E18" s="3">
        <v>1956</v>
      </c>
      <c r="F18" s="2" t="s">
        <v>66</v>
      </c>
      <c r="G18" s="3" t="s">
        <v>73</v>
      </c>
      <c r="H18" s="3" t="s">
        <v>46</v>
      </c>
      <c r="I18" s="2" t="s">
        <v>78</v>
      </c>
      <c r="J18" s="4">
        <v>7.3240740740740742E-4</v>
      </c>
      <c r="K18" s="5" cm="1">
        <f t="array" ref="K18">_xlfn.IFS(A18="1",10,A18="2",8,A18="3",6,A18="4",5,A18="5",4,A18="6",3,A18="7",2,A18="8",1,A18&gt;=9,"",A18="","")</f>
        <v>6</v>
      </c>
    </row>
    <row r="19" spans="1:17" x14ac:dyDescent="0.25">
      <c r="A19" s="27" t="s">
        <v>100</v>
      </c>
      <c r="B19" s="1">
        <v>18</v>
      </c>
      <c r="C19" s="2" t="s">
        <v>69</v>
      </c>
      <c r="D19" s="2" t="s">
        <v>70</v>
      </c>
      <c r="E19" s="3">
        <v>2017</v>
      </c>
      <c r="F19" s="2" t="s">
        <v>66</v>
      </c>
      <c r="G19" s="3" t="s">
        <v>73</v>
      </c>
      <c r="H19" s="3" t="s">
        <v>46</v>
      </c>
      <c r="I19" s="2" t="s">
        <v>68</v>
      </c>
      <c r="J19" s="4">
        <v>7.337962962962963E-4</v>
      </c>
      <c r="K19" s="5" cm="1">
        <f t="array" ref="K19">_xlfn.IFS(A19="1",10,A19="2",8,A19="3",6,A19="4",5,A19="5",4,A19="6",3,A19="7",2,A19="8",1,A19&gt;=9,"",A19="","")</f>
        <v>4</v>
      </c>
    </row>
    <row r="20" spans="1:17" x14ac:dyDescent="0.25">
      <c r="A20" s="27" t="s">
        <v>101</v>
      </c>
      <c r="B20" s="1">
        <v>19</v>
      </c>
      <c r="C20" s="2" t="s">
        <v>0</v>
      </c>
      <c r="D20" s="2" t="s">
        <v>71</v>
      </c>
      <c r="E20" s="3">
        <v>1960</v>
      </c>
      <c r="F20" s="2" t="s">
        <v>66</v>
      </c>
      <c r="G20" s="3" t="s">
        <v>72</v>
      </c>
      <c r="H20" s="3" t="s">
        <v>46</v>
      </c>
      <c r="I20" s="2" t="s">
        <v>77</v>
      </c>
      <c r="J20" s="4">
        <v>2.3652777777777778E-3</v>
      </c>
      <c r="K20" s="5" cm="1">
        <f t="array" ref="K20">_xlfn.IFS(A20="1",10,A20="2",8,A20="3",6,A20="4",5,A20="5",4,A20="6",3,A20="7",2,A20="8",1,A20&gt;=9,"",A20="","")</f>
        <v>3</v>
      </c>
    </row>
    <row r="21" spans="1:17" x14ac:dyDescent="0.25">
      <c r="A21" s="27" t="s">
        <v>97</v>
      </c>
      <c r="B21" s="1">
        <v>20</v>
      </c>
      <c r="C21" s="2" t="s">
        <v>84</v>
      </c>
      <c r="D21" s="2" t="s">
        <v>85</v>
      </c>
      <c r="E21" s="3">
        <v>1949</v>
      </c>
      <c r="F21" s="2" t="s">
        <v>66</v>
      </c>
      <c r="G21" s="3" t="s">
        <v>73</v>
      </c>
      <c r="H21" s="3" t="s">
        <v>46</v>
      </c>
      <c r="I21" s="2" t="s">
        <v>78</v>
      </c>
      <c r="J21" s="4">
        <v>7.0520833333333329E-4</v>
      </c>
      <c r="K21" s="5" cm="1">
        <f t="array" ref="K21">_xlfn.IFS(A21="1",10,A21="2",8,A21="3",6,A21="4",5,A21="5",4,A21="6",3,A21="7",2,A21="8",1,A21&gt;=9,"",A21="","")</f>
        <v>8</v>
      </c>
    </row>
    <row r="22" spans="1:17" x14ac:dyDescent="0.25">
      <c r="A22" s="27" t="s">
        <v>99</v>
      </c>
      <c r="B22" s="1">
        <v>21</v>
      </c>
      <c r="C22" s="2" t="s">
        <v>6</v>
      </c>
      <c r="D22" s="2" t="s">
        <v>7</v>
      </c>
      <c r="E22" s="3">
        <v>1987</v>
      </c>
      <c r="F22" s="2" t="s">
        <v>21</v>
      </c>
      <c r="G22" s="3" t="s">
        <v>8</v>
      </c>
      <c r="H22" s="3" t="s">
        <v>9</v>
      </c>
      <c r="I22" s="2" t="s">
        <v>10</v>
      </c>
      <c r="J22" s="4">
        <v>9.7893518518518512E-4</v>
      </c>
      <c r="K22" s="5" cm="1">
        <f t="array" ref="K22">_xlfn.IFS(A22="1",10,A22="2",8,A22="3",6,A22="4",5,A22="5",4,A22="6",3,A22="7",2,A22="8",1,A22&gt;=9,"",A22="","")</f>
        <v>5</v>
      </c>
    </row>
    <row r="23" spans="1:17" x14ac:dyDescent="0.25">
      <c r="A23" s="25" t="s">
        <v>96</v>
      </c>
      <c r="B23" s="1">
        <v>22</v>
      </c>
      <c r="C23" s="2" t="s">
        <v>87</v>
      </c>
      <c r="D23" s="2" t="s">
        <v>12</v>
      </c>
      <c r="E23" s="3">
        <v>2003</v>
      </c>
      <c r="F23" s="2" t="s">
        <v>22</v>
      </c>
      <c r="G23" s="3" t="s">
        <v>1</v>
      </c>
      <c r="H23" s="3" t="s">
        <v>9</v>
      </c>
      <c r="I23" s="2" t="s">
        <v>13</v>
      </c>
      <c r="J23" s="4">
        <v>8.3796296296296299E-4</v>
      </c>
      <c r="K23" s="5" cm="1">
        <f t="array" ref="K23">_xlfn.IFS(A23="1",10,A23="2",8,A23="3",6,A23="4",5,A23="5",4,A23="6",3,A23="7",2,A23="8",1,A23&gt;=9,"",A23="","")</f>
        <v>10</v>
      </c>
    </row>
    <row r="25" spans="1:17" x14ac:dyDescent="0.25">
      <c r="F25" s="50" t="s">
        <v>102</v>
      </c>
      <c r="H25" s="50" t="s">
        <v>103</v>
      </c>
    </row>
    <row r="26" spans="1:17" ht="18.75" x14ac:dyDescent="0.25">
      <c r="B26" s="35"/>
      <c r="C26" s="36" t="s">
        <v>79</v>
      </c>
      <c r="F26" s="12"/>
      <c r="G26" s="23" t="s">
        <v>76</v>
      </c>
      <c r="H26" s="42"/>
      <c r="I26" s="43" t="s">
        <v>82</v>
      </c>
      <c r="J26" s="6"/>
      <c r="K26" s="12"/>
      <c r="L26" s="13" t="s">
        <v>34</v>
      </c>
      <c r="M26" s="14" t="s">
        <v>35</v>
      </c>
      <c r="N26" s="6"/>
      <c r="O26" s="6"/>
      <c r="P26" s="34" t="s">
        <v>83</v>
      </c>
    </row>
    <row r="27" spans="1:17" ht="15" customHeight="1" x14ac:dyDescent="0.25">
      <c r="A27" s="37"/>
      <c r="B27" s="38"/>
      <c r="C27" s="39" t="s">
        <v>89</v>
      </c>
      <c r="D27" s="25"/>
      <c r="E27" s="25"/>
      <c r="F27" s="32" t="str" cm="1">
        <f t="array" ref="F27">IF(L27="",""," Stnr. "&amp;INDEX($B$2:$B$23,MATCH(G27,$J$2:$J$23,0))&amp;"   "&amp;INDEX($C$2:$C$23&amp;" "&amp; $D$2:$D$23,MATCH(G27,$J$2:$J$23,0))&amp;"   "&amp;INDEX($F$2:$F$23,MATCH(G27,$J$2:$J$23,0))&amp;", zeit:")</f>
        <v xml:space="preserve"> Stnr. 11   Spinazze Luciano   MK 5, zeit:</v>
      </c>
      <c r="G27" s="46" cm="1">
        <f t="array" ref="G27">IF($L27="","",IF($M27,IF($M27,INDEX($J$2:$J$23,MATCH($M27,$B$2:$B$23,0)),IF($C$2="","",SMALL($E$2:$E$23,0))),IFERROR(SMALL(IF($G$2:$G$23="h",IF($H$2:$H$23="gäste",$J$2:$J$23)),1),0)))</f>
        <v>7.0520833333333329E-4</v>
      </c>
      <c r="H27" s="44" t="str" cm="1">
        <f t="array" ref="H27">IF(G27="","",IF($M27,INDEX($H$2:$H$23&amp;" "&amp;$G$2:$G$23,MATCH($M27,$B$2:$B$23,0)),IF($G27,INDEX($H$2:$H$23&amp;" "&amp;$G$2:$G$23,MATCH($G27,$J$2:$J$23,0)))))</f>
        <v>Ski M</v>
      </c>
      <c r="I27" s="45" t="s">
        <v>81</v>
      </c>
      <c r="J27" s="27"/>
      <c r="K27" s="27"/>
      <c r="L27" s="28" t="s">
        <v>34</v>
      </c>
      <c r="M27" s="29"/>
      <c r="N27" s="27" t="str">
        <f>"gäste "&amp;" h"</f>
        <v>gäste  h</v>
      </c>
      <c r="O27" s="27"/>
      <c r="P27" s="27">
        <v>20</v>
      </c>
      <c r="Q27" s="25"/>
    </row>
    <row r="28" spans="1:17" ht="15" customHeight="1" x14ac:dyDescent="0.25">
      <c r="A28" s="25"/>
      <c r="B28" s="25"/>
      <c r="C28" s="25"/>
      <c r="D28" s="25"/>
      <c r="E28" s="25"/>
      <c r="F28" s="26" t="str" cm="1">
        <f t="array" ref="F28">IF(L28="",""," Stnr. "&amp;INDEX($B$2:$B$23,MATCH(G28,$J$2:$J$23,0))&amp;"   "&amp;INDEX($C$2:$C$23&amp;" "&amp; $D$2:$D$23,MATCH(G28,$J$2:$J$23,0))&amp;"   "&amp;INDEX($F$2:$F$23,MATCH(G28,$J$2:$J$23,0))&amp;", zeit:")</f>
        <v xml:space="preserve"> Stnr. 9   Marth Janina   Gäste 7, zeit:</v>
      </c>
      <c r="G28" s="46" cm="1">
        <f t="array" ref="G28">IF($L28="","",IF($M28,IF($M28,INDEX($J$2:$J$23,MATCH($M28,$B$2:$B$23,0)),IF($C$2="","",SMALL($E$2:$E$23,0))),IFERROR(SMALL(IF($G$2:$G$23="d",IF($H$2:$H$23="gäste",$J$2:$J$23)),1),0)))</f>
        <v>6.7337962962962968E-4</v>
      </c>
      <c r="H28" s="42" t="str" cm="1">
        <f t="array" ref="H28">IF(G28="","",IF($M28,INDEX($H$2:$H$23&amp;" "&amp;$G$2:$G$23,MATCH($M28,$B$2:$B$23,0)),IF($G28,INDEX($H$2:$H$23&amp;" "&amp;$G$2:$G$23,MATCH($G28,$J$2:$J$23,0)))))</f>
        <v>Gäste D</v>
      </c>
      <c r="I28" s="42"/>
      <c r="J28" s="27"/>
      <c r="K28" s="27"/>
      <c r="L28" s="28" t="s">
        <v>34</v>
      </c>
      <c r="M28" s="29"/>
      <c r="N28" s="27" t="str">
        <f>"gäste "&amp;" d"</f>
        <v>gäste  d</v>
      </c>
      <c r="O28" s="27"/>
      <c r="P28" s="27">
        <v>9</v>
      </c>
      <c r="Q28" s="25"/>
    </row>
    <row r="29" spans="1:17" ht="15" customHeight="1" x14ac:dyDescent="0.25">
      <c r="A29" s="25"/>
      <c r="B29" s="25"/>
      <c r="C29" s="25"/>
      <c r="D29" s="25"/>
      <c r="E29" s="25"/>
      <c r="F29" s="26" t="str" cm="1">
        <f t="array" ref="F29">IF(L29="",""," Stnr. "&amp;INDEX($B$2:$B$23,MATCH(G29,$J$2:$J$23,0))&amp;"   "&amp;INDEX($C$2:$C$23&amp;" "&amp; $D$2:$D$23,MATCH(G29,$J$2:$J$23,0))&amp;"   "&amp;INDEX($F$2:$F$23,MATCH(G29,$J$2:$J$23,0))&amp;", zeit:")</f>
        <v xml:space="preserve"> Stnr. 1   Gufler Samuel   MK 1, zeit:</v>
      </c>
      <c r="G29" s="46" cm="1">
        <f t="array" ref="G29">IF($L29="","",IF($M29,IF($M29,INDEX($J$2:$J$23,MATCH($M29,$B$2:$B$23,0)),IF($C$2="","",SMALL($E$2:$E$23,0))),IFERROR(SMALL(IF($G$2:$G$23="m",IF($H$2:$H$23="ski",$J$2:$J$23)),1),0)))</f>
        <v>5.4236111111111108E-4</v>
      </c>
      <c r="H29" s="42" t="str" cm="1">
        <f t="array" ref="H29">IF(G29="","",IF($M29,INDEX($H$2:$H$23&amp;" "&amp;$G$2:$G$23,MATCH($M29,$B$2:$B$23,0)),IF($G29,INDEX($H$2:$H$23&amp;" "&amp;$G$2:$G$23,MATCH($G29,$J$2:$J$23,0)))))</f>
        <v>Ski M</v>
      </c>
      <c r="I29" s="42"/>
      <c r="J29" s="27"/>
      <c r="K29" s="27"/>
      <c r="L29" s="28" t="s">
        <v>34</v>
      </c>
      <c r="M29" s="29"/>
      <c r="N29" s="30" t="s">
        <v>36</v>
      </c>
      <c r="O29" s="30"/>
      <c r="P29" s="27">
        <v>1</v>
      </c>
      <c r="Q29" s="25"/>
    </row>
    <row r="30" spans="1:17" ht="15" customHeight="1" x14ac:dyDescent="0.25">
      <c r="A30" s="25"/>
      <c r="B30" s="25"/>
      <c r="C30" s="25"/>
      <c r="D30" s="25"/>
      <c r="E30" s="25"/>
      <c r="F30" s="26" t="str" cm="1">
        <f t="array" ref="F30">IF(L30="",""," Stnr. "&amp;INDEX($B$2:$B$23,MATCH(G30,$J$2:$J$23,0))&amp;"   "&amp;INDEX($C$2:$C$23&amp;" "&amp; $D$2:$D$23,MATCH(G30,$J$2:$J$23,0))&amp;"   "&amp;INDEX($F$2:$F$23,MATCH(G30,$J$2:$J$23,0))&amp;", zeit:")</f>
        <v xml:space="preserve"> Stnr. 3   Mitterstieler Elena   MK 3, zeit:</v>
      </c>
      <c r="G30" s="46" cm="1">
        <f t="array" ref="G30">IF($L30="","",IF($M30,IF($M30,INDEX($J$2:$J$23,MATCH($M30,$B$2:$B$23,0)),IF($C$2="","",SMALL($E$2:$E$23,0))),IFERROR(SMALL(IF($G$2:$G$23="w",IF($H$2:$H$23="ski",$J$2:$J$23)),1),0)))</f>
        <v>5.5196759259259261E-4</v>
      </c>
      <c r="H30" s="42" t="str" cm="1">
        <f t="array" ref="H30">IF(G30="","",IF($M30,INDEX($H$2:$H$23&amp;" "&amp;$G$2:$G$23,MATCH($M30,$B$2:$B$23,0)),IF($G30,INDEX($H$2:$H$23&amp;" "&amp;$G$2:$G$23,MATCH($G30,$J$2:$J$23,0)))))</f>
        <v>Ski W</v>
      </c>
      <c r="I30" s="42"/>
      <c r="J30" s="27"/>
      <c r="K30" s="27"/>
      <c r="L30" s="28" t="s">
        <v>34</v>
      </c>
      <c r="M30" s="29"/>
      <c r="N30" s="30" t="s">
        <v>37</v>
      </c>
      <c r="O30" s="27"/>
      <c r="P30" s="27">
        <v>3</v>
      </c>
      <c r="Q30" s="25"/>
    </row>
    <row r="31" spans="1:17" ht="15" customHeight="1" x14ac:dyDescent="0.25">
      <c r="A31" s="25"/>
      <c r="B31" s="25"/>
      <c r="C31" s="25"/>
      <c r="D31" s="25"/>
      <c r="E31" s="25"/>
      <c r="F31" s="26" t="str" cm="1">
        <f t="array" ref="F31">IF(L31="",""," Stnr. "&amp;INDEX($B$2:$B$23,MATCH(G31,$J$2:$J$23,0))&amp;"   "&amp;INDEX($C$2:$C$23&amp;" "&amp; $D$2:$D$23,MATCH(G31,$J$2:$J$23,0))&amp;"   "&amp;INDEX($F$2:$F$23,MATCH(G31,$J$2:$J$23,0))&amp;", zeit:")</f>
        <v xml:space="preserve"> Stnr. 2   Gögele Daniel   MK 2, zeit:</v>
      </c>
      <c r="G31" s="46" cm="1">
        <f t="array" ref="G31">IF($L31="","",IF($M31,IF($M31,INDEX($J$2:$J$23,MATCH($M31,$B$2:$B$23,0)),IF($C$2="","",SMALL($E$2:$E$23,0))),IFERROR(SMALL(IF($G$2:$G$23="m",IF($H$2:$H$23="rodel",$J$2:$J$23)),1),0)))</f>
        <v>2.0833333333333333E-3</v>
      </c>
      <c r="H31" s="42" t="str" cm="1">
        <f t="array" ref="H31">IF(G31="","",IF($M31,INDEX($H$2:$H$23&amp;" "&amp;$G$2:$G$23,MATCH($M31,$B$2:$B$23,0)),IF($G31,INDEX($H$2:$H$23&amp;" "&amp;$G$2:$G$23,MATCH($G31,$J$2:$J$23,0)))))</f>
        <v>Rodel M</v>
      </c>
      <c r="I31" s="42"/>
      <c r="J31" s="27"/>
      <c r="K31" s="27"/>
      <c r="L31" s="28" t="s">
        <v>34</v>
      </c>
      <c r="M31" s="29"/>
      <c r="N31" s="30" t="s">
        <v>38</v>
      </c>
      <c r="O31" s="30"/>
      <c r="P31" s="27">
        <v>2</v>
      </c>
      <c r="Q31" s="25"/>
    </row>
    <row r="32" spans="1:17" ht="15" customHeight="1" x14ac:dyDescent="0.25">
      <c r="A32" s="25"/>
      <c r="B32" s="25"/>
      <c r="C32" s="25"/>
      <c r="D32" s="25"/>
      <c r="E32" s="25"/>
      <c r="F32" s="26" t="str" cm="1">
        <f t="array" ref="F32">IF(L32="",""," Stnr. "&amp;INDEX($B$2:$B$23,MATCH(G32,$J$2:$J$23,0))&amp;"   "&amp;INDEX($C$2:$C$23&amp;" "&amp; $D$2:$D$23,MATCH(G32,$J$2:$J$23,0))&amp;"   "&amp;INDEX($F$2:$F$23,MATCH(G32,$J$2:$J$23,0))&amp;", zeit:")</f>
        <v xml:space="preserve"> Stnr. 8   Reich Mirjam   MK 2, zeit:</v>
      </c>
      <c r="G32" s="46" cm="1">
        <f t="array" ref="G32">IF($L32="","",IF($M32,IF($M32,INDEX($J$2:$J$23,MATCH($M32,$B$2:$B$23,0)),IF($C$2="","",SMALL($E$2:$E$23,0))),IFERROR(SMALL(IF($G$2:$G$23="w",IF($H$2:$H$23="rodel",$J$2:$J$23)),1),0)))</f>
        <v>2.4731481481481484E-3</v>
      </c>
      <c r="H32" s="42" t="str" cm="1">
        <f t="array" ref="H32">IF(G32="","",IF($M32,INDEX($H$2:$H$23&amp;" "&amp;$G$2:$G$23,MATCH($M32,$B$2:$B$23,0)),IF($G32,INDEX($H$2:$H$23&amp;" "&amp;$G$2:$G$23,MATCH($G32,$J$2:$J$23,0)))))</f>
        <v>Rodel W</v>
      </c>
      <c r="I32" s="42"/>
      <c r="J32" s="27"/>
      <c r="K32" s="27"/>
      <c r="L32" s="28" t="s">
        <v>34</v>
      </c>
      <c r="M32" s="29"/>
      <c r="N32" s="30" t="s">
        <v>39</v>
      </c>
      <c r="O32" s="27"/>
      <c r="P32" s="27">
        <v>8</v>
      </c>
      <c r="Q32" s="25"/>
    </row>
    <row r="33" spans="1:17" ht="15" customHeight="1" x14ac:dyDescent="0.25">
      <c r="A33" s="25"/>
      <c r="B33" s="25"/>
      <c r="C33" s="25"/>
      <c r="D33" s="25"/>
      <c r="E33" s="25"/>
      <c r="F33" s="26" t="str" cm="1">
        <f t="array" ref="F33">IF(L33="",""," Stnr. "&amp;INDEX($B$2:$B$23,MATCH(G33,$J$2:$J$23,0))&amp;"   "&amp;INDEX($C$2:$C$23&amp;" "&amp; $D$2:$D$23,MATCH(G33,$J$2:$J$23,0))&amp;"   "&amp;INDEX($F$2:$F$23,MATCH(G33,$J$2:$J$23,0))&amp;", zeit:")</f>
        <v xml:space="preserve"> Stnr. 22   Gläserer Manuel   MK 5, zeit:</v>
      </c>
      <c r="G33" s="46" cm="1">
        <f t="array" ref="G33">IF($L33="","",IF($M33,IF($M33,INDEX($J$2:$J$23,MATCH($M33,$B$2:$B$23,0)),IF($C$2="","",SMALL($E$2:$E$23,0))),IFERROR(SMALL(IF($G$2:$G$23="m",IF($H$2:$H$23="snow",$J$2:$J$23)),1),0)))</f>
        <v>8.3796296296296299E-4</v>
      </c>
      <c r="H33" s="42" t="str" cm="1">
        <f t="array" ref="H33">IF(G33="","",IF($M33,INDEX($H$2:$H$23&amp;" "&amp;$G$2:$G$23,MATCH($M33,$B$2:$B$23,0)),IF($G33,INDEX($H$2:$H$23&amp;" "&amp;$G$2:$G$23,MATCH($G33,$J$2:$J$23,0)))))</f>
        <v>Snow M</v>
      </c>
      <c r="I33" s="42"/>
      <c r="J33" s="27"/>
      <c r="K33" s="27"/>
      <c r="L33" s="28" t="s">
        <v>34</v>
      </c>
      <c r="M33" s="29"/>
      <c r="N33" s="27" t="s">
        <v>40</v>
      </c>
      <c r="O33" s="30"/>
      <c r="P33" s="27">
        <v>22</v>
      </c>
      <c r="Q33" s="25"/>
    </row>
    <row r="34" spans="1:17" ht="15" customHeight="1" x14ac:dyDescent="0.25">
      <c r="A34" s="25"/>
      <c r="B34" s="25"/>
      <c r="C34" s="25"/>
      <c r="D34" s="25"/>
      <c r="E34" s="25"/>
      <c r="F34" s="26" t="str" cm="1">
        <f t="array" ref="F34">IF(L34="",""," Stnr. "&amp;INDEX($B$2:$B$23,MATCH(G34,$J$2:$J$23,0))&amp;"   "&amp;INDEX($C$2:$C$23&amp;" "&amp; $D$2:$D$23,MATCH(G34,$J$2:$J$23,0))&amp;"   "&amp;INDEX($F$2:$F$23,MATCH(G34,$J$2:$J$23,0))&amp;", zeit:")</f>
        <v xml:space="preserve"> Stnr. 4   Lanthaler Barbara   MK 4, zeit:</v>
      </c>
      <c r="G34" s="46" cm="1">
        <f t="array" ref="G34">IF($L34="","",IF($M34,IF($M34,INDEX($J$2:$J$23,MATCH($M34,$B$2:$B$23,0)),IF($C$2="","",SMALL($E$2:$E$23,0))),IFERROR(SMALL(IF($G$2:$G$23="w",IF($H$2:$H$23="snow",$J$2:$J$23)),1),0)))</f>
        <v>9.6851851851851851E-4</v>
      </c>
      <c r="H34" s="42" t="str" cm="1">
        <f t="array" ref="H34">IF(G34="","",IF($M34,INDEX($H$2:$H$23&amp;" "&amp;$G$2:$G$23,MATCH($M34,$B$2:$B$23,0)),IF($G34,INDEX($H$2:$H$23&amp;" "&amp;$G$2:$G$23,MATCH($G34,$J$2:$J$23,0)))))</f>
        <v>Snow W</v>
      </c>
      <c r="I34" s="42"/>
      <c r="J34" s="27"/>
      <c r="K34" s="27"/>
      <c r="L34" s="28" t="s">
        <v>34</v>
      </c>
      <c r="M34" s="29"/>
      <c r="N34" s="27" t="s">
        <v>41</v>
      </c>
      <c r="O34" s="30"/>
      <c r="P34" s="27">
        <v>4</v>
      </c>
      <c r="Q34" s="25"/>
    </row>
    <row r="35" spans="1:17" x14ac:dyDescent="0.25">
      <c r="C35" s="33"/>
      <c r="F35" s="6"/>
      <c r="G35" s="6"/>
      <c r="H35" s="6"/>
      <c r="I35" s="6"/>
      <c r="J35" s="6"/>
      <c r="K35" s="6"/>
      <c r="L35" s="15" t="str">
        <f>IF(L36="","","x")</f>
        <v>x</v>
      </c>
      <c r="M35" s="6"/>
      <c r="N35" s="6"/>
      <c r="O35" s="6"/>
      <c r="P35" s="6"/>
    </row>
    <row r="36" spans="1:17" ht="18.75" x14ac:dyDescent="0.25">
      <c r="C36" s="33"/>
      <c r="F36" s="6"/>
      <c r="G36" s="6"/>
      <c r="H36" s="24" t="s">
        <v>74</v>
      </c>
      <c r="I36" s="6"/>
      <c r="J36" s="6"/>
      <c r="K36" s="6"/>
      <c r="L36" s="13" t="s">
        <v>34</v>
      </c>
      <c r="M36" s="14" t="s">
        <v>42</v>
      </c>
      <c r="N36" s="6"/>
      <c r="O36" s="6"/>
      <c r="P36" s="6"/>
    </row>
    <row r="37" spans="1:17" x14ac:dyDescent="0.25">
      <c r="A37" s="37"/>
      <c r="B37" s="37"/>
      <c r="C37" s="48" t="s">
        <v>89</v>
      </c>
      <c r="D37" s="25"/>
      <c r="E37" s="25"/>
      <c r="F37" s="32" t="str" cm="1">
        <f t="array" ref="F37">IF($G37="","",IF($M37,"Stnr. "&amp;$M37&amp;"   "&amp;INDEX($C$2:$C$23&amp;" "&amp;$D$2:$D$23,MATCH($M37,$B$2:$B$23,0))&amp;"   "&amp;INDEX($F$2:$F$23,MATCH($M37,$B$2:$B$23,0))&amp;",  geb.","Stnr. "&amp;INDEX($B$2:$B$23,MATCH($G37,$E$2:$E$23,0))&amp;"   "&amp;INDEX($C$2:$C$23&amp;" "&amp;$D$2:$D$23,MATCH($G37,$E$2:$E$23,0))&amp;"   "&amp;INDEX($F$2:$F$23,MATCH($G37,$E$2:$E$23,0))&amp;",  geb."))</f>
        <v>Stnr. 11   Spinazze Luciano   MK 5,  geb.</v>
      </c>
      <c r="G37" s="31" cm="1">
        <f t="array" ref="G37">IF($L37="","",IF($M37,IF($M37,INDEX($G$2:$G$23,MATCH($M37,$B$2:$B$23,0)),IF($C$2="","",SMALL($E$2:$E$23,0))),IFERROR(SMALL(IF($G$2:$G$23="h",IF($H$2:$H$23="gäste",$E$2:$E$23)),1),0)))</f>
        <v>1949</v>
      </c>
      <c r="H37" s="40" t="str" cm="1">
        <f t="array" ref="H37">IF(G37="","",IF($M37,INDEX($H$2:$H$23&amp;" "&amp;$G$2:$G$23,MATCH($M37,$B$2:$B$23,0)),IF($G37,INDEX($H$2:$H$23&amp;" "&amp;$G$2:$G$23,MATCH($G37,$E$2:$E$23,0)))))</f>
        <v>Ski M</v>
      </c>
      <c r="I37" s="41" t="s">
        <v>81</v>
      </c>
      <c r="J37" s="27"/>
      <c r="K37" s="27"/>
      <c r="L37" s="28" t="s">
        <v>34</v>
      </c>
      <c r="M37" s="29"/>
      <c r="N37" s="27" t="str">
        <f>"gäste "&amp;" h"</f>
        <v>gäste  h</v>
      </c>
      <c r="O37" s="27"/>
      <c r="P37" s="27">
        <v>20</v>
      </c>
      <c r="Q37" s="25"/>
    </row>
    <row r="38" spans="1:17" x14ac:dyDescent="0.25">
      <c r="A38" s="37"/>
      <c r="B38" s="38"/>
      <c r="C38" s="39" t="s">
        <v>91</v>
      </c>
      <c r="D38" s="25"/>
      <c r="E38" s="25"/>
      <c r="F38" s="32" t="str" cm="1">
        <f t="array" ref="F38">IF($G38="","",IF($M38,"Stnr. "&amp;$M38&amp;"   "&amp;INDEX($C$2:$C$23&amp;" "&amp;$D$2:$D$23,MATCH($M38,$B$2:$B$23,0))&amp;"   "&amp;INDEX($F$2:$F$23,MATCH($M38,$B$2:$B$23,0))&amp;",  geb.","Stnr. "&amp;INDEX($B$2:$B$23,MATCH($G38,$E$2:$E$23,0))&amp;"   "&amp;INDEX($C$2:$C$23&amp;" "&amp;$D$2:$D$23,MATCH($G38,$E$2:$E$23,0))&amp;"   "&amp;INDEX($F$2:$F$23,MATCH($G38,$E$2:$E$23,0))&amp;",  geb."))</f>
        <v>Stnr. 6   Lamprecht Franz   MK 6,  geb.</v>
      </c>
      <c r="G38" s="31" cm="1">
        <f t="array" ref="G38">IF($L38="","",IF($M38,IF($M38,INDEX($E$2:$E$23,MATCH($M38,$B$2:$B$23,0)),IF($C$2="","",SMALL($E$2:$E$23,0))),IFERROR(SMALL(IF($G$2:$G$23="d",IF($H$2:$H$23="gäste",$E$2:$E$23)),1),0)))</f>
        <v>1960</v>
      </c>
      <c r="H38" s="40" t="str" cm="1">
        <f t="array" ref="H38">IF(G38="","",IF($M38,INDEX($H$2:$H$23&amp;" "&amp;$G$2:$G$23,MATCH($M38,$B$2:$B$23,0)),IF($G38,INDEX($H$2:$H$23&amp;" "&amp;$G$2:$G$23,MATCH($G38,$E$2:$E$23,0)))))</f>
        <v>Rodel M</v>
      </c>
      <c r="I38" s="41" t="s">
        <v>80</v>
      </c>
      <c r="J38" s="27"/>
      <c r="K38" s="27"/>
      <c r="L38" s="28" t="s">
        <v>34</v>
      </c>
      <c r="M38" s="29"/>
      <c r="N38" s="27" t="str">
        <f>"gäste "&amp;" d"</f>
        <v>gäste  d</v>
      </c>
      <c r="O38" s="27"/>
      <c r="P38" s="27">
        <v>19</v>
      </c>
      <c r="Q38" s="25"/>
    </row>
    <row r="39" spans="1:17" x14ac:dyDescent="0.25">
      <c r="A39" s="25"/>
      <c r="B39" s="25"/>
      <c r="C39" s="25"/>
      <c r="D39" s="25"/>
      <c r="E39" s="25"/>
      <c r="F39" s="26" t="str" cm="1">
        <f t="array" ref="F39">IF($G39="","",IF($M39,"Stnr. "&amp;$M39&amp;"   "&amp;INDEX($C$2:$C$23&amp;" "&amp;$D$2:$D$23,MATCH($M39,$B$2:$B$23,0))&amp;"   "&amp;INDEX($F$2:$F$23,MATCH($M39,$B$2:$B$23,0))&amp;",  geb.","Stnr. "&amp;INDEX($B$2:$B$23,MATCH($G39,$E$2:$E$23,0))&amp;"   "&amp;INDEX($C$2:$C$23&amp;" "&amp;$D$2:$D$23,MATCH($G39,$E$2:$E$23,0))&amp;"   "&amp;INDEX($F$2:$F$23,MATCH($G39,$E$2:$E$23,0))&amp;",  geb."))</f>
        <v>Stnr. 11   Spinazze Luciano   MK 5,  geb.</v>
      </c>
      <c r="G39" s="31" cm="1">
        <f t="array" ref="G39">IF($L39="","",IF($M39,IF($M39,INDEX($G$2:$G$23,MATCH($M39,$B$2:$B$23,0)),IF($C$2="","",SMALL($E$2:$E$23,0))),IFERROR(SMALL(IF($G$2:$G$23="m",IF($H$2:$H$23="ski",$E$2:$E$23)),1),0)))</f>
        <v>1949</v>
      </c>
      <c r="H39" s="42" t="str" cm="1">
        <f t="array" ref="H39">IF(G39="","",IF($M39,INDEX($G$2:$G$23,MATCH($M39,$B$2:$B$23,0)),IF($G39,INDEX($H$2:$H$23&amp;" "&amp;$G$2:$G$23,MATCH($G39,$E$2:$E$23,0)))))</f>
        <v>Ski M</v>
      </c>
      <c r="I39" s="42"/>
      <c r="J39" s="27"/>
      <c r="K39" s="27"/>
      <c r="L39" s="28" t="s">
        <v>34</v>
      </c>
      <c r="M39" s="29"/>
      <c r="N39" s="30" t="s">
        <v>36</v>
      </c>
      <c r="O39" s="27"/>
      <c r="P39" s="27">
        <v>11</v>
      </c>
      <c r="Q39" s="25"/>
    </row>
    <row r="40" spans="1:17" x14ac:dyDescent="0.25">
      <c r="A40" s="25"/>
      <c r="B40" s="25"/>
      <c r="C40" s="25"/>
      <c r="D40" s="25"/>
      <c r="E40" s="25"/>
      <c r="F40" s="26" t="str" cm="1">
        <f t="array" ref="F40">IF($G40="","",IF($M40,"Stnr. "&amp;$M40&amp;"   "&amp;INDEX($C$2:$C$23&amp;" "&amp;$D$2:$D$23,MATCH($M40,$B$2:$B$23,0))&amp;"   "&amp;INDEX($F$2:$F$23,MATCH($M40,$B$2:$B$23,0))&amp;",  geb.","Stnr. "&amp;INDEX($B$2:$B$23,MATCH($G40,$E$2:$E$23,0))&amp;"   "&amp;INDEX($C$2:$C$23&amp;" "&amp;$D$2:$D$23,MATCH($G40,$E$2:$E$23,0))&amp;"   "&amp;INDEX($F$2:$F$23,MATCH($G40,$E$2:$E$23,0))&amp;",  geb."))</f>
        <v>Stnr. 12   Kofler Gerda   MK 4,  geb.</v>
      </c>
      <c r="G40" s="31" cm="1">
        <f t="array" ref="G40">IF($L40="","",IF($M40,IF($M40,INDEX($E$2:$E$23,MATCH($M40,$B$2:$B$23,0)),IF($C$2="","",SMALL($E$2:$E$23,0))),IFERROR(SMALL(IF($G$2:$G$23="w",IF($H$2:$H$23="ski",$E$2:$E$23)),1),0)))</f>
        <v>1969</v>
      </c>
      <c r="H40" s="42" t="str" cm="1">
        <f t="array" ref="H40">IF(G40="","",IF($M40,INDEX($H$2:$H$23&amp;" "&amp;$G$2:$G$23,MATCH($M40,$B$2:$B$23,0)),IF($G40,INDEX($H$2:$H$23&amp;" "&amp;$G$2:$G$23,MATCH($G40,$E$2:$E$23,0)))))</f>
        <v>Ski W</v>
      </c>
      <c r="I40" s="42"/>
      <c r="J40" s="27"/>
      <c r="K40" s="27"/>
      <c r="L40" s="28" t="s">
        <v>34</v>
      </c>
      <c r="M40" s="29"/>
      <c r="N40" s="30" t="s">
        <v>37</v>
      </c>
      <c r="O40" s="27"/>
      <c r="P40" s="27">
        <v>12</v>
      </c>
      <c r="Q40" s="25"/>
    </row>
    <row r="41" spans="1:17" x14ac:dyDescent="0.25">
      <c r="A41" s="25"/>
      <c r="B41" s="25"/>
      <c r="C41" s="25"/>
      <c r="D41" s="25"/>
      <c r="E41" s="25"/>
      <c r="F41" s="26" t="str" cm="1">
        <f t="array" ref="F41">IF($G41="","",IF($M41,"Stnr. "&amp;$M41&amp;"   "&amp;INDEX($C$2:$C$23&amp;" "&amp;$D$2:$D$23,MATCH($M41,$B$2:$B$23,0))&amp;"   "&amp;INDEX($F$2:$F$23,MATCH($M41,$B$2:$B$23,0))&amp;",  geb.","Stnr. "&amp;INDEX($B$2:$B$23,MATCH($G41,$E$2:$E$23,0))&amp;"   "&amp;INDEX($C$2:$C$23&amp;" "&amp;$D$2:$D$23,MATCH($G41,$E$2:$E$23,0))&amp;"   "&amp;INDEX($F$2:$F$23,MATCH($G41,$E$2:$E$23,0))&amp;",  geb."))</f>
        <v>Stnr. 6   Lamprecht Franz   MK 6,  geb.</v>
      </c>
      <c r="G41" s="31" cm="1">
        <f t="array" ref="G41">IF($L41="","",IF($M41,IF($M41,INDEX($G$2:$G$23,MATCH($M41,$B$2:$B$23,0)),IF($C$2="","",SMALL($E$2:$E$23,0))),IFERROR(SMALL(IF($G$2:$G$23="m",IF($H$2:$H$23="rodel",$E$2:$E$23)),1),0)))</f>
        <v>1960</v>
      </c>
      <c r="H41" s="42" t="str" cm="1">
        <f t="array" ref="H41">IF(G41="","",IF($M41,INDEX($G$2:$G$23,MATCH($M41,$B$2:$B$23,0)),IF($G41,INDEX($H$2:$H$23&amp;" "&amp;$G$2:$G$23,MATCH($G41,$E$2:$E$23,0)))))</f>
        <v>Rodel M</v>
      </c>
      <c r="I41" s="42"/>
      <c r="J41" s="27"/>
      <c r="K41" s="27"/>
      <c r="L41" s="28" t="s">
        <v>34</v>
      </c>
      <c r="M41" s="29"/>
      <c r="N41" s="30" t="s">
        <v>38</v>
      </c>
      <c r="O41" s="27"/>
      <c r="P41" s="27">
        <v>6</v>
      </c>
      <c r="Q41" s="25"/>
    </row>
    <row r="42" spans="1:17" x14ac:dyDescent="0.25">
      <c r="A42" s="25"/>
      <c r="B42" s="25"/>
      <c r="C42" s="25"/>
      <c r="D42" s="25"/>
      <c r="E42" s="25"/>
      <c r="F42" s="26" t="str" cm="1">
        <f t="array" ref="F42">IF($G42="","",IF($M42,"Stnr. "&amp;$M42&amp;"   "&amp;INDEX($C$2:$C$23&amp;" "&amp;$D$2:$D$23,MATCH($M42,$B$2:$B$23,0))&amp;"   "&amp;INDEX($F$2:$F$23,MATCH($M42,$B$2:$B$23,0))&amp;",  geb.","Stnr. "&amp;INDEX($B$2:$B$23,MATCH($G42,$E$2:$E$23,0))&amp;"   "&amp;INDEX($C$2:$C$23&amp;" "&amp;$D$2:$D$23,MATCH($G42,$E$2:$E$23,0))&amp;"   "&amp;INDEX($F$2:$F$23,MATCH($G42,$E$2:$E$23,0))&amp;",  geb."))</f>
        <v>Stnr. 16   Pircher Stefania   MK 4,  geb.</v>
      </c>
      <c r="G42" s="31" cm="1">
        <f t="array" ref="G42">IF($L42="","",IF($M42,IF($M42,INDEX($E$2:$E$23,MATCH($M42,$B$2:$B$23,0)),IF($C$2="","",SMALL($E$2:$E$23,0))),IFERROR(SMALL(IF($G$2:$G$23="w",IF($H$2:$H$23="rodel",$E$2:$E$23)),1),0)))</f>
        <v>1980</v>
      </c>
      <c r="H42" s="42" t="str" cm="1">
        <f t="array" ref="H42">IF(G42="","",IF($M42,INDEX($H$2:$H$23&amp;" "&amp;$G$2:$G$23,MATCH($M42,$B$2:$B$23,0)),IF($G42,INDEX($H$2:$H$23&amp;" "&amp;$G$2:$G$23,MATCH($G42,$E$2:$E$23,0)))))</f>
        <v>Rodel W</v>
      </c>
      <c r="I42" s="42"/>
      <c r="J42" s="27"/>
      <c r="K42" s="27"/>
      <c r="L42" s="28" t="s">
        <v>34</v>
      </c>
      <c r="M42" s="29"/>
      <c r="N42" s="30" t="s">
        <v>39</v>
      </c>
      <c r="O42" s="27"/>
      <c r="P42" s="27">
        <v>16</v>
      </c>
      <c r="Q42" s="25"/>
    </row>
    <row r="43" spans="1:17" x14ac:dyDescent="0.25">
      <c r="A43" s="25"/>
      <c r="B43" s="25"/>
      <c r="C43" s="25"/>
      <c r="D43" s="25"/>
      <c r="E43" s="25"/>
      <c r="F43" s="26" t="str" cm="1">
        <f t="array" ref="F43">IF($G43="","",IF($M43,"Stnr. "&amp;$M43&amp;"   "&amp;INDEX($C$2:$C$23&amp;" "&amp;$D$2:$D$23,MATCH($M43,$B$2:$B$23,0))&amp;"   "&amp;INDEX($F$2:$F$23,MATCH($M43,$B$2:$B$23,0))&amp;",  geb.","Stnr. "&amp;INDEX($B$2:$B$23,MATCH($G43,$E$2:$E$23,0))&amp;"   "&amp;INDEX($C$2:$C$23&amp;" "&amp;$D$2:$D$23,MATCH($G43,$E$2:$E$23,0))&amp;"   "&amp;INDEX($F$2:$F$23,MATCH($G43,$E$2:$E$23,0))&amp;",  geb."))</f>
        <v>Stnr. 22   Gläserer Manuel   MK 5,  geb.</v>
      </c>
      <c r="G43" s="31" cm="1">
        <f t="array" ref="G43">IF($L43="","",IF($M43,IF($M43,INDEX($G$2:$G$23,MATCH($M43,$B$2:$B$23,0)),IF($C$2="","",SMALL($E$2:$E$23,0))),IFERROR(SMALL(IF($G$2:$G$23="m",IF($H$2:$H$23="snow",$E$2:$E$23)),1),0)))</f>
        <v>2003</v>
      </c>
      <c r="H43" s="42" t="str" cm="1">
        <f t="array" ref="H43">IF(G43="","",IF($M43,INDEX($G$2:$G$23,MATCH($M43,$B$2:$B$23,0)),IF($G43,INDEX($H$2:$H$23&amp;" "&amp;$G$2:$G$23,MATCH($G43,$E$2:$E$23,0)))))</f>
        <v>Snow M</v>
      </c>
      <c r="I43" s="42"/>
      <c r="J43" s="27"/>
      <c r="K43" s="27"/>
      <c r="L43" s="28" t="s">
        <v>34</v>
      </c>
      <c r="M43" s="29"/>
      <c r="N43" s="27" t="s">
        <v>40</v>
      </c>
      <c r="O43" s="27"/>
      <c r="P43" s="27">
        <v>22</v>
      </c>
      <c r="Q43" s="25"/>
    </row>
    <row r="44" spans="1:17" x14ac:dyDescent="0.25">
      <c r="A44" s="25"/>
      <c r="B44" s="25"/>
      <c r="C44" s="25"/>
      <c r="D44" s="25"/>
      <c r="E44" s="25"/>
      <c r="F44" s="26" t="str" cm="1">
        <f t="array" ref="F44">IF($G44="","",IF($M44,"Stnr. "&amp;$M44&amp;"   "&amp;INDEX($C$2:$C$23&amp;" "&amp;$D$2:$D$23,MATCH($M44,$B$2:$B$23,0))&amp;"   "&amp;INDEX($F$2:$F$23,MATCH($M44,$B$2:$B$23,0))&amp;",  geb.","Stnr. "&amp;INDEX($B$2:$B$23,MATCH($G44,$E$2:$E$23,0))&amp;"   "&amp;INDEX($C$2:$C$23&amp;" "&amp;$D$2:$D$23,MATCH($G44,$E$2:$E$23,0))&amp;"   "&amp;INDEX($F$2:$F$23,MATCH($G44,$E$2:$E$23,0))&amp;",  geb."))</f>
        <v>Stnr. 21   Fleischmann Barbara   MK 4,  geb.</v>
      </c>
      <c r="G44" s="31" cm="1">
        <f t="array" ref="G44">IF($L44="","",IF($M44,IF($M44,INDEX($E$2:$E$23,MATCH($M44,$B$2:$B$23,0)),IF($C$2="","",SMALL($E$2:$E$23,0))),IFERROR(SMALL(IF($G$2:$G$23="w",IF($H$2:$H$23="snow",$E$2:$E$23)),1),0)))</f>
        <v>1987</v>
      </c>
      <c r="H44" s="42" t="str" cm="1">
        <f t="array" ref="H44">IF(G44="","",IF($M44,INDEX($H$2:$H$23&amp;" "&amp;$G$2:$G$23,MATCH($M44,$B$2:$B$23,0)),IF($G44,INDEX($H$2:$H$23&amp;" "&amp;$G$2:$G$23,MATCH($G44,$E$2:$E$23,0)))))</f>
        <v>Snow W</v>
      </c>
      <c r="I44" s="42"/>
      <c r="J44" s="27"/>
      <c r="K44" s="27"/>
      <c r="L44" s="28" t="s">
        <v>34</v>
      </c>
      <c r="M44" s="29"/>
      <c r="N44" s="27" t="s">
        <v>41</v>
      </c>
      <c r="O44" s="27"/>
      <c r="P44" s="27">
        <v>21</v>
      </c>
      <c r="Q44" s="25"/>
    </row>
    <row r="45" spans="1:17" x14ac:dyDescent="0.25">
      <c r="C45" s="33"/>
      <c r="F45" s="16"/>
      <c r="G45" s="16"/>
      <c r="H45" s="16"/>
      <c r="I45" s="6"/>
      <c r="J45" s="6"/>
      <c r="K45" s="6"/>
      <c r="L45" s="15" t="str">
        <f>IF(L46="","","x")</f>
        <v>x</v>
      </c>
      <c r="M45" s="6"/>
      <c r="N45" s="6"/>
      <c r="O45" s="6"/>
      <c r="P45" s="6"/>
    </row>
    <row r="46" spans="1:17" ht="18.75" x14ac:dyDescent="0.25">
      <c r="C46" s="33"/>
      <c r="F46" s="16"/>
      <c r="G46" s="16"/>
      <c r="H46" s="24" t="s">
        <v>75</v>
      </c>
      <c r="I46" s="6"/>
      <c r="J46" s="6"/>
      <c r="K46" s="6"/>
      <c r="L46" s="13" t="s">
        <v>34</v>
      </c>
      <c r="M46" s="14" t="s">
        <v>43</v>
      </c>
      <c r="N46" s="6"/>
      <c r="O46" s="6"/>
      <c r="P46" s="6"/>
    </row>
    <row r="47" spans="1:17" ht="15" customHeight="1" x14ac:dyDescent="0.25">
      <c r="A47" s="37"/>
      <c r="B47" s="37"/>
      <c r="C47" s="48" t="s">
        <v>90</v>
      </c>
      <c r="D47" s="25"/>
      <c r="E47" s="26"/>
      <c r="F47" s="32" t="str" cm="1">
        <f t="array" ref="F47">IF($G47="","",IF($M47,"Stnr. "&amp;$M47&amp;"   "&amp;INDEX($C$2:$C$23&amp;" "&amp;$D$2:$D$23,MATCH($M47,$B$2:$B$23,0))&amp;"   "&amp;INDEX($F$2:$F$23,MATCH($M47,$B$2:$B$23,0))&amp;",  geb.","Stnr. "&amp;INDEX($B$2:$B$23,MATCH($G47,$E$2:$E$23,0))&amp;"   "&amp;INDEX($C$2:$C$23&amp;" "&amp;$D$2:$D$23,MATCH($G47,$E$2:$E$23,0))&amp;"   "&amp;INDEX($F$2:$F$23,MATCH($G47,$E$2:$E$23,0))&amp;",  geb."))</f>
        <v>Stnr. 10   Marth Jelena   Gäste 7,  geb.</v>
      </c>
      <c r="G47" s="31" cm="1">
        <f t="array" ref="G47">IF($L47="","",IF($M47,IF($M47,INDEX($E$2:$E$23,MATCH($M47,$B$2:$B$23,0)),IF($C$2="","",LARGE($E$2:$E$23,0))),IFERROR(LARGE(IF($G$2:$G$23="h",$E$2:$E$23),1),0)))</f>
        <v>2017</v>
      </c>
      <c r="H47" s="40" t="str" cm="1">
        <f t="array" ref="H47">IF(G47="","",IF($M47,INDEX($H$2:$H$23&amp;" "&amp;$G$2:$G$23,MATCH($M47,$B$2:$B$23,0)),IF($G47,INDEX($H$2:$H$23&amp;" "&amp;$G$2:$G$23,MATCH($G47,$E$2:$E$23,0)))))</f>
        <v>Gäste D</v>
      </c>
      <c r="I47" s="41" t="s">
        <v>81</v>
      </c>
      <c r="J47" s="27"/>
      <c r="K47" s="27"/>
      <c r="L47" s="28" t="s">
        <v>34</v>
      </c>
      <c r="M47" s="29"/>
      <c r="N47" s="27" t="str">
        <f>"gäste "&amp;" h"</f>
        <v>gäste  h</v>
      </c>
      <c r="O47" s="27"/>
      <c r="P47" s="27">
        <v>18</v>
      </c>
      <c r="Q47" s="25"/>
    </row>
    <row r="48" spans="1:17" ht="15" customHeight="1" x14ac:dyDescent="0.25">
      <c r="A48" s="25"/>
      <c r="B48" s="25"/>
      <c r="C48" s="25"/>
      <c r="D48" s="25"/>
      <c r="E48" s="25"/>
      <c r="F48" s="26" t="str" cm="1">
        <f t="array" ref="F48">IF($G48="","",IF($M48,"Stnr. "&amp;$M48&amp;"   "&amp;INDEX($C$2:$C$23&amp;" "&amp;$D$2:$D$23,MATCH($M48,$B$2:$B$23,0))&amp;"   "&amp;INDEX($F$2:$F$23,MATCH($M48,$B$2:$B$23,0))&amp;",  geb.","Stnr. "&amp;INDEX($B$2:$B$23,MATCH($G48,$E$2:$E$23,0))&amp;"   "&amp;INDEX($C$2:$C$23&amp;" "&amp;$D$2:$D$23,MATCH($G48,$E$2:$E$23,0))&amp;"   "&amp;INDEX($F$2:$F$23,MATCH($G48,$E$2:$E$23,0))&amp;",  geb."))</f>
        <v>Stnr. 10   Marth Jelena   Gäste 7,  geb.</v>
      </c>
      <c r="G48" s="31" cm="1">
        <f t="array" ref="G48">IF($L48="","",IF($M48,IF($M48,INDEX($E$2:$E$23,MATCH($M48,$B$2:$B$23,0)),IF($C$2="","",LARGE($E$2:$E$23,0))),IFERROR(LARGE(IF($G$2:$G$23="d",$E$2:$E$23),1),0)))</f>
        <v>2017</v>
      </c>
      <c r="H48" s="42" t="str" cm="1">
        <f t="array" ref="H48">IF(G48="","",IF($M48,INDEX($H$2:$H$23&amp;" "&amp;$G$2:$G$23,MATCH($M48,$B$2:$B$23,0)),IF($G48,INDEX($H$2:$H$23&amp;" "&amp;$G$2:$G$23,MATCH($G48,$E$2:$E$23,0)))))</f>
        <v>Gäste D</v>
      </c>
      <c r="I48" s="42"/>
      <c r="J48" s="27"/>
      <c r="K48" s="27"/>
      <c r="L48" s="28" t="s">
        <v>34</v>
      </c>
      <c r="M48" s="29"/>
      <c r="N48" s="27" t="str">
        <f>"gäste "&amp;" d"</f>
        <v>gäste  d</v>
      </c>
      <c r="O48" s="27"/>
      <c r="P48" s="27">
        <v>10</v>
      </c>
      <c r="Q48" s="25"/>
    </row>
    <row r="49" spans="1:17" ht="15" customHeight="1" x14ac:dyDescent="0.25">
      <c r="A49" s="37"/>
      <c r="B49" s="37"/>
      <c r="C49" s="48" t="s">
        <v>92</v>
      </c>
      <c r="D49" s="25"/>
      <c r="E49" s="25"/>
      <c r="F49" s="32" t="str" cm="1">
        <f t="array" ref="F49">IF($G49="","",IF($M49,"Stnr. "&amp;$M49&amp;"   "&amp;INDEX($C$2:$C$23&amp;" "&amp;$D$2:$D$23,MATCH($M49,$B$2:$B$23,0))&amp;"   "&amp;INDEX($F$2:$F$23,MATCH($M49,$B$2:$B$23,0))&amp;",  geb.","Stnr. "&amp;INDEX($B$2:$B$23,MATCH($G49,$E$2:$E$23,0))&amp;"   "&amp;INDEX($C$2:$C$23&amp;" "&amp;$D$2:$D$23,MATCH($G49,$E$2:$E$23,0))&amp;"   "&amp;INDEX($F$2:$F$23,MATCH($G49,$E$2:$E$23,0))&amp;",  geb."))</f>
        <v>Stnr. 10   Marth Jelena   Gäste 7,  geb.</v>
      </c>
      <c r="G49" s="31">
        <f>IF($L49="","",IF($M49,IF($M49,INDEX($E$2:$E$23,MATCH($M49,$B$2:$B$23,1)),IF($C$2="","",LARGE($E$2:$E$23,1))),IF($L49="x",LARGE($E$2:$E$23,1),"")))</f>
        <v>2017</v>
      </c>
      <c r="H49" s="40" t="str" cm="1">
        <f t="array" ref="H49">IF(G49="","",IF($M49,INDEX($H$2:$H$23&amp;" "&amp;$G$2:$G$23,MATCH($M49,$B$2:$B$23,0)),IF($G49,INDEX($H$2:$H$23&amp;" "&amp;$G$2:$G$23,MATCH($G49,$E$2:$E$23,0)))))</f>
        <v>Gäste D</v>
      </c>
      <c r="I49" s="41" t="s">
        <v>93</v>
      </c>
      <c r="J49" s="27"/>
      <c r="K49" s="27"/>
      <c r="L49" s="28" t="s">
        <v>34</v>
      </c>
      <c r="M49" s="29"/>
      <c r="N49" s="30" t="s">
        <v>36</v>
      </c>
      <c r="O49" s="27"/>
      <c r="P49" s="27">
        <v>15</v>
      </c>
      <c r="Q49" s="25"/>
    </row>
    <row r="50" spans="1:17" ht="15" customHeight="1" x14ac:dyDescent="0.25">
      <c r="A50" s="25"/>
      <c r="B50" s="25"/>
      <c r="C50" s="25"/>
      <c r="D50" s="25"/>
      <c r="E50" s="25"/>
      <c r="F50" s="26" t="str" cm="1">
        <f t="array" ref="F50">IF($G50="","",IF($M50,"Stnr. "&amp;$M50&amp;"   "&amp;INDEX($C$2:$C$23&amp;" "&amp;$D$2:$D$23,MATCH($M50,$B$2:$B$23,0))&amp;"   "&amp;INDEX($F$2:$F$23,MATCH($M50,$B$2:$B$23,0))&amp;",  geb.","Stnr. "&amp;INDEX($B$2:$B$23,MATCH($G50,$E$2:$E$23,0))&amp;"   "&amp;INDEX($C$2:$C$23&amp;" "&amp;$D$2:$D$23,MATCH($G50,$E$2:$E$23,0))&amp;"   "&amp;INDEX($F$2:$F$23,MATCH($G50,$E$2:$E$23,0))&amp;",  geb."))</f>
        <v>Stnr. 7   Flarer Barbara   MK 1,  geb.</v>
      </c>
      <c r="G50" s="31" cm="1">
        <f t="array" ref="G50">IF($L50="","",IF($M50,IF($M50,INDEX($E$2:$E$23,MATCH($M50,$B$2:$B$23,0)),IF($C$2="","",LARGE($E$2:$E$23,0))),IFERROR(LARGE(IF($G$2:$G$23="w",IF($H$2:$H$23="ski",$E$2:$E$23)),1),0)))</f>
        <v>2013</v>
      </c>
      <c r="H50" s="42" t="str" cm="1">
        <f t="array" ref="H50">IF(G50="","",IF($M50,INDEX($H$2:$H$23&amp;" "&amp;$G$2:$G$23,MATCH($M50,$B$2:$B$23,0)),IF($G50,INDEX($H$2:$H$23&amp;" "&amp;$G$2:$G$23,MATCH($G50,$E$2:$E$23,0)))))</f>
        <v>Ski W</v>
      </c>
      <c r="I50" s="42"/>
      <c r="J50" s="27"/>
      <c r="K50" s="27"/>
      <c r="L50" s="28" t="s">
        <v>34</v>
      </c>
      <c r="M50" s="29"/>
      <c r="N50" s="30" t="s">
        <v>37</v>
      </c>
      <c r="O50" s="27"/>
      <c r="P50" s="27">
        <v>7</v>
      </c>
      <c r="Q50" s="25"/>
    </row>
    <row r="51" spans="1:17" ht="15" customHeight="1" x14ac:dyDescent="0.25">
      <c r="A51" s="25"/>
      <c r="B51" s="25"/>
      <c r="C51" s="47"/>
      <c r="D51" s="25"/>
      <c r="E51" s="25"/>
      <c r="F51" s="26" t="str" cm="1">
        <f t="array" ref="F51">IF($G51="","",IF($M51,"Stnr. "&amp;$M51&amp;"   "&amp;INDEX($C$2:$C$23&amp;" "&amp;$D$2:$D$23,MATCH($M51,$B$2:$B$23,0))&amp;"   "&amp;INDEX($F$2:$F$23,MATCH($M51,$B$2:$B$23,0))&amp;",  geb.","Stnr. "&amp;INDEX($B$2:$B$23,MATCH($G51,$E$2:$E$23,0))&amp;"   "&amp;INDEX($C$2:$C$23&amp;" "&amp;$D$2:$D$23,MATCH($G51,$E$2:$E$23,0))&amp;"   "&amp;INDEX($F$2:$F$23,MATCH($G51,$E$2:$E$23,0))&amp;",  geb."))</f>
        <v>Stnr. 14   Fahrner Arthur   MK 4,  geb.</v>
      </c>
      <c r="G51" s="31" cm="1">
        <f t="array" ref="G51">IF($L51="","",IF($M51,IF($M51,INDEX($E$2:$E$23,MATCH($M51,$B$2:$B$23,0)),IF($C$2="","",LARGE($E$2:$E$23,0))),IFERROR(LARGE(IF($G$2:$G$23="m",IF($H$2:$H$23="rodel",$E$2:$E$23)),1),0)))</f>
        <v>2014</v>
      </c>
      <c r="H51" s="42" t="str" cm="1">
        <f t="array" ref="H51">IF(G51="","",IF($M51,INDEX($H$2:$H$23&amp;" "&amp;$G$2:$G$23,MATCH($M51,$B$2:$B$23,0)),IF($G51,INDEX($H$2:$H$23&amp;" "&amp;$G$2:$G$23,MATCH($G51,$E$2:$E$23,0)))))</f>
        <v>Rodel M</v>
      </c>
      <c r="I51" s="42"/>
      <c r="J51" s="27"/>
      <c r="K51" s="27"/>
      <c r="L51" s="28" t="s">
        <v>34</v>
      </c>
      <c r="M51" s="29"/>
      <c r="N51" s="30" t="s">
        <v>38</v>
      </c>
      <c r="O51" s="27"/>
      <c r="P51" s="27">
        <v>14</v>
      </c>
      <c r="Q51" s="25"/>
    </row>
    <row r="52" spans="1:17" ht="15" customHeight="1" x14ac:dyDescent="0.25">
      <c r="A52" s="37"/>
      <c r="B52" s="37"/>
      <c r="C52" s="48" t="s">
        <v>95</v>
      </c>
      <c r="D52" s="25"/>
      <c r="E52" s="25"/>
      <c r="F52" s="32" t="str" cm="1">
        <f t="array" ref="F52">IF($G52="","",IF($M52,"Stnr. "&amp;$M52&amp;"   "&amp;INDEX($C$2:$C$23&amp;" "&amp;$D$2:$D$23,MATCH($M52,$B$2:$B$23,0))&amp;"   "&amp;INDEX($F$2:$F$23,MATCH($M52,$B$2:$B$23,0))&amp;",  geb.","Stnr. "&amp;INDEX($B$2:$B$23,MATCH($G52,$E$2:$E$23,0))&amp;"   "&amp;INDEX($C$2:$C$23&amp;" "&amp;$D$2:$D$23,MATCH($G52,$E$2:$E$23,0))&amp;"   "&amp;INDEX($F$2:$F$23,MATCH($G52,$E$2:$E$23,0))&amp;",  geb."))</f>
        <v>Stnr. 7   Flarer Barbara   MK 1,  geb.</v>
      </c>
      <c r="G52" s="31" cm="1">
        <f t="array" ref="G52">IF($L52="","",IF($M52,IF($M52,INDEX($E$2:$E$23,MATCH($M52,$B$2:$B$23,0)),IF($C$2="","",LARGE($E$2:$E$23,0))),IFERROR(LARGE(IF($G$2:$G$23="w",IF($H$2:$H$23="rodel",$E$2:$E$23)),1),0)))</f>
        <v>2013</v>
      </c>
      <c r="H52" s="40" t="str" cm="1">
        <f t="array" ref="H52">IF(G52="","",IF($M52,INDEX($H$2:$H$23&amp;" "&amp;$G$2:$G$23,MATCH($M52,$B$2:$B$23,0)),IF($G52,INDEX($H$2:$H$23&amp;" "&amp;$G$2:$G$23,MATCH($G52,$E$2:$E$23,0)))))</f>
        <v>Ski W</v>
      </c>
      <c r="I52" s="41" t="s">
        <v>94</v>
      </c>
      <c r="J52" s="27"/>
      <c r="K52" s="27"/>
      <c r="L52" s="28" t="s">
        <v>34</v>
      </c>
      <c r="M52" s="29"/>
      <c r="N52" s="30" t="s">
        <v>39</v>
      </c>
      <c r="O52" s="27"/>
      <c r="P52" s="27">
        <v>13</v>
      </c>
      <c r="Q52" s="25"/>
    </row>
    <row r="53" spans="1:17" ht="15" customHeight="1" x14ac:dyDescent="0.25">
      <c r="A53" s="25"/>
      <c r="B53" s="25"/>
      <c r="C53" s="25"/>
      <c r="D53" s="25"/>
      <c r="E53" s="25"/>
      <c r="F53" s="26" t="str" cm="1">
        <f t="array" ref="F53">IF($G53="","",IF($M53,"Stnr. "&amp;$M53&amp;"   "&amp;INDEX($C$2:$C$23&amp;" "&amp;$D$2:$D$23,MATCH($M53,$B$2:$B$23,0))&amp;"   "&amp;INDEX($F$2:$F$23,MATCH($M53,$B$2:$B$23,0))&amp;",  geb.","Stnr. "&amp;INDEX($B$2:$B$23,MATCH($G53,$E$2:$E$23,0))&amp;"   "&amp;INDEX($C$2:$C$23&amp;" "&amp;$D$2:$D$23,MATCH($G53,$E$2:$E$23,0))&amp;"   "&amp;INDEX($F$2:$F$23,MATCH($G53,$E$2:$E$23,0))&amp;",  geb."))</f>
        <v>Stnr. 5   Forcher Manuel   MK 5,  geb.</v>
      </c>
      <c r="G53" s="31" cm="1">
        <f t="array" ref="G53">IF($L53="","",IF($M53,IF($M53,INDEX($G$2:$G$23,MATCH($M53,$B$2:$B$23,0)),IF($C$2="","",LARGE($E$2:$E$23,0))),IFERROR(LARGE(IF($G$2:$G$23="m",IF($H$2:$H$23="snow",$E$2:$E$23)),1),0)))</f>
        <v>2004</v>
      </c>
      <c r="H53" s="42" t="str" cm="1">
        <f t="array" ref="H53">IF(G53="","",IF($M53,INDEX($H$2:$H$23&amp;" "&amp;$G$2:$G$23,MATCH($M53,$B$2:$B$23,0)),IF($G53,INDEX($H$2:$H$23&amp;" "&amp;$G$2:$G$23,MATCH($G53,$E$2:$E$23,0)))))</f>
        <v>Snow M</v>
      </c>
      <c r="I53" s="42"/>
      <c r="J53" s="27"/>
      <c r="K53" s="27"/>
      <c r="L53" s="28" t="s">
        <v>34</v>
      </c>
      <c r="M53" s="29"/>
      <c r="N53" s="27" t="s">
        <v>40</v>
      </c>
      <c r="O53" s="27"/>
      <c r="P53" s="27">
        <v>5</v>
      </c>
      <c r="Q53" s="25"/>
    </row>
    <row r="54" spans="1:17" ht="15" customHeight="1" x14ac:dyDescent="0.25">
      <c r="A54" s="25"/>
      <c r="B54" s="25"/>
      <c r="C54" s="25"/>
      <c r="D54" s="25"/>
      <c r="E54" s="25"/>
      <c r="F54" s="26" t="str" cm="1">
        <f t="array" ref="F54">IF($G54="","",IF($M54,"Stnr. "&amp;$M54&amp;"   "&amp;INDEX($C$2:$C$23&amp;" "&amp;$D$2:$D$23,MATCH($M54,$B$2:$B$23,0))&amp;"   "&amp;INDEX($F$2:$F$23,MATCH($M54,$B$2:$B$23,0))&amp;",  geb.","Stnr. "&amp;INDEX($B$2:$B$23,MATCH($G54,$E$2:$E$23,0))&amp;"   "&amp;INDEX($C$2:$C$23&amp;" "&amp;$D$2:$D$23,MATCH($G54,$E$2:$E$23,0))&amp;"   "&amp;INDEX($F$2:$F$23,MATCH($G54,$E$2:$E$23,0))&amp;",  geb."))</f>
        <v>Stnr. 4   Lanthaler Barbara   MK 4,  geb.</v>
      </c>
      <c r="G54" s="31" cm="1">
        <f t="array" ref="G54">IF($L54="","",IF($M54,IF($M54,INDEX($E$2:$E$23,MATCH($M54,$B$2:$B$23,0)),IF($C$2="","",LARGE($E$2:$E$23,0))),IFERROR(LARGE(IF($G$2:$G$23="w",IF($H$2:$H$23="snow",$E$2:$E$23)),1),0)))</f>
        <v>1988</v>
      </c>
      <c r="H54" s="42" t="str" cm="1">
        <f t="array" ref="H54">IF(G54="","",IF($M54,INDEX($H$2:$H$23&amp;" "&amp;$G$2:$G$23,MATCH($M54,$B$2:$B$23,0)),IF($G54,INDEX($H$2:$H$23&amp;" "&amp;$G$2:$G$23,MATCH($G54,$E$2:$E$23,0)))))</f>
        <v>Snow W</v>
      </c>
      <c r="I54" s="42"/>
      <c r="J54" s="27"/>
      <c r="K54" s="27"/>
      <c r="L54" s="28" t="s">
        <v>34</v>
      </c>
      <c r="M54" s="29"/>
      <c r="N54" s="27" t="s">
        <v>41</v>
      </c>
      <c r="O54" s="27"/>
      <c r="P54" s="27">
        <v>4</v>
      </c>
      <c r="Q54" s="25"/>
    </row>
    <row r="55" spans="1:17" ht="15" customHeight="1" x14ac:dyDescent="0.25"/>
  </sheetData>
  <autoFilter ref="B1:K23" xr:uid="{1612D38A-66BB-4730-8E3C-DBC8F588D7FC}"/>
  <sortState xmlns:xlrd2="http://schemas.microsoft.com/office/spreadsheetml/2017/richdata2" ref="A2:K23">
    <sortCondition ref="B2:B23"/>
  </sortState>
  <phoneticPr fontId="8" type="noConversion"/>
  <conditionalFormatting sqref="B20:E20">
    <cfRule type="expression" dxfId="57" priority="59">
      <formula>CELL("Zeile")=ROW()</formula>
    </cfRule>
  </conditionalFormatting>
  <conditionalFormatting sqref="B21:E21">
    <cfRule type="expression" dxfId="56" priority="54">
      <formula>CELL("Zeile")=ROW()</formula>
    </cfRule>
  </conditionalFormatting>
  <conditionalFormatting sqref="B20:H21">
    <cfRule type="expression" dxfId="55" priority="45">
      <formula>$H20="rodel"</formula>
    </cfRule>
    <cfRule type="expression" dxfId="54" priority="46">
      <formula>$H20="ski"</formula>
    </cfRule>
    <cfRule type="expression" dxfId="53" priority="47">
      <formula>$H20="snow"</formula>
    </cfRule>
    <cfRule type="expression" dxfId="52" priority="48">
      <formula>COUNTIF($F20,"*gäste*")</formula>
    </cfRule>
  </conditionalFormatting>
  <conditionalFormatting sqref="B22:J23">
    <cfRule type="expression" dxfId="51" priority="19">
      <formula>CELL("Zeile")=ROW()</formula>
    </cfRule>
  </conditionalFormatting>
  <conditionalFormatting sqref="B22:J23">
    <cfRule type="expression" dxfId="50" priority="20">
      <formula>$H22="rodel"</formula>
    </cfRule>
    <cfRule type="expression" dxfId="49" priority="21">
      <formula>$H22="ski"</formula>
    </cfRule>
    <cfRule type="expression" dxfId="48" priority="22">
      <formula>$H22="snow"</formula>
    </cfRule>
    <cfRule type="expression" dxfId="47" priority="23">
      <formula>COUNTIF($F22,"*gäste*")</formula>
    </cfRule>
  </conditionalFormatting>
  <conditionalFormatting sqref="B2:K3 B4:J19 K4:K23">
    <cfRule type="expression" dxfId="46" priority="65">
      <formula>$H2="rodel"</formula>
    </cfRule>
    <cfRule type="expression" dxfId="45" priority="66">
      <formula>$H2="ski"</formula>
    </cfRule>
    <cfRule type="expression" dxfId="44" priority="67">
      <formula>$H2="snow"</formula>
    </cfRule>
    <cfRule type="expression" dxfId="43" priority="68">
      <formula>COUNTIF($F2,"*gäste*")</formula>
    </cfRule>
  </conditionalFormatting>
  <conditionalFormatting sqref="F20:J21">
    <cfRule type="expression" dxfId="42" priority="24">
      <formula>CELL("Zeile")=ROW()</formula>
    </cfRule>
  </conditionalFormatting>
  <conditionalFormatting sqref="H20:J21">
    <cfRule type="expression" dxfId="41" priority="25">
      <formula>$H20="rodel"</formula>
    </cfRule>
    <cfRule type="expression" dxfId="40" priority="26">
      <formula>$H20="ski"</formula>
    </cfRule>
    <cfRule type="expression" dxfId="39" priority="27">
      <formula>$H20="snow"</formula>
    </cfRule>
    <cfRule type="expression" dxfId="38" priority="28">
      <formula>COUNTIF($F20,"*gäste*")</formula>
    </cfRule>
  </conditionalFormatting>
  <pageMargins left="0.7" right="0.7" top="0.78740157499999996" bottom="0.78740157499999996" header="0.3" footer="0.3"/>
  <ignoredErrors>
    <ignoredError sqref="K2:K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2025-03-24T18:41:13Z</dcterms:created>
  <dcterms:modified xsi:type="dcterms:W3CDTF">2025-03-26T17:57:20Z</dcterms:modified>
</cp:coreProperties>
</file>